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76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<sst xmlns="http://schemas.openxmlformats.org/spreadsheetml/2006/main" count="421" uniqueCount="154">
  <si>
    <t>№ з/п</t>
  </si>
  <si>
    <t>П. І. П.</t>
  </si>
  <si>
    <t>Керівник</t>
  </si>
  <si>
    <t>Гурток</t>
  </si>
  <si>
    <t>Рік навчання</t>
  </si>
  <si>
    <t>Рівень</t>
  </si>
  <si>
    <t>28.09.</t>
  </si>
  <si>
    <t>Бали</t>
  </si>
  <si>
    <t>10-12.10.</t>
  </si>
  <si>
    <t>17.10.</t>
  </si>
  <si>
    <t>30.10.</t>
  </si>
  <si>
    <t>28-30.11.</t>
  </si>
  <si>
    <t>13.12.</t>
  </si>
  <si>
    <t>Походи</t>
  </si>
  <si>
    <t>Екскурсії</t>
  </si>
  <si>
    <t>Загальна сума балів, І півріччя</t>
  </si>
  <si>
    <t>5.01.</t>
  </si>
  <si>
    <t>24,25.03.</t>
  </si>
  <si>
    <t>28.04.2015.(Джура)</t>
  </si>
  <si>
    <t>28.04.2015.(Шк.Б.)</t>
  </si>
  <si>
    <t>15-17.05.</t>
  </si>
  <si>
    <t>22, 23.05.</t>
  </si>
  <si>
    <t>Загальна сума балів, ІІ півріччя</t>
  </si>
  <si>
    <t>Загальна сума балів за навчальний рік</t>
  </si>
  <si>
    <t>Бублик В.С.</t>
  </si>
  <si>
    <t>Пішохідний туризм</t>
  </si>
  <si>
    <t>1 рік</t>
  </si>
  <si>
    <t>Базовий</t>
  </si>
  <si>
    <t>2 рік</t>
  </si>
  <si>
    <t>ІІІ</t>
  </si>
  <si>
    <t>І</t>
  </si>
  <si>
    <t>ІІ</t>
  </si>
  <si>
    <t>Людоговський В.Г.</t>
  </si>
  <si>
    <t>Спортивний туризм</t>
  </si>
  <si>
    <t>Вищий</t>
  </si>
  <si>
    <t>Галига Леонід</t>
  </si>
  <si>
    <t>Зезіч Ілона</t>
  </si>
  <si>
    <t>-</t>
  </si>
  <si>
    <t>Колодій Володимир</t>
  </si>
  <si>
    <t>Білоус Владислав</t>
  </si>
  <si>
    <t>Бубуч Аліна</t>
  </si>
  <si>
    <t>Галига Денис</t>
  </si>
  <si>
    <t>Білецький Сергій</t>
  </si>
  <si>
    <t>Гусєв С.О.</t>
  </si>
  <si>
    <t>Жукова Карина</t>
  </si>
  <si>
    <t>Лобарчук Катерина</t>
  </si>
  <si>
    <t>Лоташинська Олександра</t>
  </si>
  <si>
    <t>Німич Віолетта</t>
  </si>
  <si>
    <t>Німич Олександр</t>
  </si>
  <si>
    <t>Німич Сергій</t>
  </si>
  <si>
    <t>Німич Сніжана</t>
  </si>
  <si>
    <t>Овсянніков Захар</t>
  </si>
  <si>
    <t>Ридванова Наіля</t>
  </si>
  <si>
    <t>Федотова Валерія</t>
  </si>
  <si>
    <t>Миронюк Р.О.</t>
  </si>
  <si>
    <t>Великокардашинська ЗОШ</t>
  </si>
  <si>
    <t>Карпенко Світлана</t>
  </si>
  <si>
    <t>Клименко Павло</t>
  </si>
  <si>
    <t>Марухненко Ростислав</t>
  </si>
  <si>
    <t>Ніколіна Марія</t>
  </si>
  <si>
    <t>Сухопарова Владислава</t>
  </si>
  <si>
    <t>Щербановський Владислав</t>
  </si>
  <si>
    <t>3 рік</t>
  </si>
  <si>
    <t>Крисенко Г.А.</t>
  </si>
  <si>
    <t>Чулаківська ЗОШ</t>
  </si>
  <si>
    <t>Пастухевич Я.Й.</t>
  </si>
  <si>
    <t>Садівська ЗОШ</t>
  </si>
  <si>
    <t>Таращенко І.А.</t>
  </si>
  <si>
    <t>Рибальченська ЗОШ</t>
  </si>
  <si>
    <t>32-33</t>
  </si>
  <si>
    <t>Школа</t>
  </si>
  <si>
    <r>
      <t>Новозбур</t>
    </r>
    <r>
      <rPr>
        <sz val="11"/>
        <rFont val="Calibri"/>
        <family val="2"/>
      </rPr>
      <t>'</t>
    </r>
    <r>
      <rPr>
        <sz val="11"/>
        <rFont val="Calibri"/>
        <family val="2"/>
      </rPr>
      <t>ївська ЗОШ №2</t>
    </r>
  </si>
  <si>
    <r>
      <t>Новозбур</t>
    </r>
    <r>
      <rPr>
        <sz val="11"/>
        <rFont val="Calibri"/>
        <family val="2"/>
      </rPr>
      <t>'</t>
    </r>
    <r>
      <rPr>
        <sz val="11"/>
        <rFont val="Calibri"/>
        <family val="2"/>
      </rPr>
      <t>ївська ЗОШ №1</t>
    </r>
  </si>
  <si>
    <r>
      <t>Новозбур</t>
    </r>
    <r>
      <rPr>
        <sz val="11"/>
        <rFont val="Calibri"/>
        <family val="2"/>
      </rPr>
      <t>'</t>
    </r>
    <r>
      <rPr>
        <sz val="11"/>
        <rFont val="Calibri"/>
        <family val="2"/>
      </rPr>
      <t>ївська ЗОШ №3</t>
    </r>
  </si>
  <si>
    <r>
      <t>Пам</t>
    </r>
    <r>
      <rPr>
        <sz val="11"/>
        <rFont val="Calibri"/>
        <family val="2"/>
      </rPr>
      <t>’</t>
    </r>
    <r>
      <rPr>
        <sz val="11"/>
        <rFont val="Calibri"/>
        <family val="2"/>
      </rPr>
      <t>ятненська ЗОШ</t>
    </r>
  </si>
  <si>
    <t>Загальна сума балів тренувальний рік</t>
  </si>
  <si>
    <t>Рейтинг тренувальний рік</t>
  </si>
  <si>
    <t>Матьора Владислав</t>
  </si>
  <si>
    <t>Коковіна Юлія</t>
  </si>
  <si>
    <t>Матьора Максим</t>
  </si>
  <si>
    <t>Брик Олександр</t>
  </si>
  <si>
    <t>Вітрук Ольга</t>
  </si>
  <si>
    <t>Пантєлєєв Дмитро</t>
  </si>
  <si>
    <t>Пастухевич Руслан</t>
  </si>
  <si>
    <t>Сумар Данило</t>
  </si>
  <si>
    <t>Михаревич Олександр</t>
  </si>
  <si>
    <t>Пуля Микола</t>
  </si>
  <si>
    <t>Сова Анастасія</t>
  </si>
  <si>
    <t>Година Аліна</t>
  </si>
  <si>
    <t>Мусієнко Валентин</t>
  </si>
  <si>
    <t>Кукуруза Єлізавета</t>
  </si>
  <si>
    <t>Халак Елеонора</t>
  </si>
  <si>
    <t>Комлик Віталій</t>
  </si>
  <si>
    <t>Звєрєва Владислава</t>
  </si>
  <si>
    <t>Єрьомєнко Вячеслав</t>
  </si>
  <si>
    <t>Винник Олександр</t>
  </si>
  <si>
    <t>Кушнаренко Дмитро</t>
  </si>
  <si>
    <t>Кушнаренко Сергій</t>
  </si>
  <si>
    <t>Шевченко Анастасія</t>
  </si>
  <si>
    <t>Пінчук Ольга</t>
  </si>
  <si>
    <t>Рябов Володимир</t>
  </si>
  <si>
    <t>Саютіна Карина</t>
  </si>
  <si>
    <t>Ільїна Інна</t>
  </si>
  <si>
    <t>Кукуруза Віктор</t>
  </si>
  <si>
    <t>Матьора Валентин</t>
  </si>
  <si>
    <t>Лобузова Олена</t>
  </si>
  <si>
    <t>Твердохліб Ганна</t>
  </si>
  <si>
    <t>Панасюк Тетяна</t>
  </si>
  <si>
    <t>Спортивні заходи І півріччя</t>
  </si>
  <si>
    <t>Спортивні заходи ІІ півріччя</t>
  </si>
  <si>
    <t>Літні походи</t>
  </si>
  <si>
    <t>Таблиця коефіціентів</t>
  </si>
  <si>
    <t>Змагання</t>
  </si>
  <si>
    <t>Категорія заходів</t>
  </si>
  <si>
    <t>Протяжність</t>
  </si>
  <si>
    <t>Клас дистанції</t>
  </si>
  <si>
    <t>Коефіціент</t>
  </si>
  <si>
    <t>Складність</t>
  </si>
  <si>
    <t>Критерії</t>
  </si>
  <si>
    <t>Кількість днів</t>
  </si>
  <si>
    <t>VI категорія</t>
  </si>
  <si>
    <t>Світові</t>
  </si>
  <si>
    <t>місяць</t>
  </si>
  <si>
    <t>V категорія</t>
  </si>
  <si>
    <t>Європейські</t>
  </si>
  <si>
    <t>3 неділі</t>
  </si>
  <si>
    <t>IV категорія</t>
  </si>
  <si>
    <t>Міжнародні</t>
  </si>
  <si>
    <t>2 неділі</t>
  </si>
  <si>
    <t>III категорія</t>
  </si>
  <si>
    <t>Всеукраїнські</t>
  </si>
  <si>
    <t>1 неділя</t>
  </si>
  <si>
    <t>II категорія</t>
  </si>
  <si>
    <t>Обласні</t>
  </si>
  <si>
    <t>6 днів</t>
  </si>
  <si>
    <t>Некласифікаційний</t>
  </si>
  <si>
    <t>I категорія</t>
  </si>
  <si>
    <t>Районні</t>
  </si>
  <si>
    <t>5 днів</t>
  </si>
  <si>
    <t>Естафета</t>
  </si>
  <si>
    <t>3 ступінь</t>
  </si>
  <si>
    <t>Гуртківців</t>
  </si>
  <si>
    <t>4 дня</t>
  </si>
  <si>
    <t>2 ступінь</t>
  </si>
  <si>
    <t>Кустові</t>
  </si>
  <si>
    <t>3 дня</t>
  </si>
  <si>
    <t>1 ступінь</t>
  </si>
  <si>
    <t>2 дня</t>
  </si>
  <si>
    <t>ПВД</t>
  </si>
  <si>
    <t>1 день</t>
  </si>
  <si>
    <t>1-денний</t>
  </si>
  <si>
    <t>Екскурсія</t>
  </si>
  <si>
    <t>Розподіл балів згідно зайнятих місць І півріччя</t>
  </si>
  <si>
    <t>Розподіл балів згідно зайнятих місць ІІ півріччя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</si>
</sst>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[$-422]d\ mmmm\ yyyy&quot; р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3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19" fillId="0" borderId="10" xfId="0" applyFont="1" applyFill="1" applyBorder="1" applyAlignment="1">
      <alignment horizontal="center" textRotation="90" wrapText="1"/>
    </xf>
    <xf numFmtId="0" fontId="36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9" fillId="0" borderId="10" xfId="0" applyFont="1" applyFill="1" applyBorder="1" applyAlignment="1">
      <alignment horizontal="center"/>
    </xf>
    <xf numFmtId="14" fontId="19" fillId="0" borderId="10" xfId="0" applyNumberFormat="1" applyFont="1" applyFill="1" applyBorder="1" applyAlignment="1">
      <alignment horizontal="center" textRotation="90"/>
    </xf>
    <xf numFmtId="0" fontId="19" fillId="0" borderId="10" xfId="0" applyFont="1" applyFill="1" applyBorder="1" applyAlignment="1">
      <alignment horizontal="center" textRotation="90"/>
    </xf>
    <xf numFmtId="0" fontId="19" fillId="0" borderId="10" xfId="0" applyFont="1" applyFill="1" applyBorder="1" applyAlignment="1">
      <alignment textRotation="90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9" fillId="0" borderId="0" xfId="0" applyFont="1" applyFill="1" applyBorder="1" applyAlignment="1">
      <alignment textRotation="90"/>
    </xf>
    <xf numFmtId="0" fontId="19" fillId="0" borderId="0" xfId="0" applyFont="1" applyFill="1" applyBorder="1" applyAlignment="1">
      <alignment vertical="center" textRotation="90"/>
    </xf>
    <xf numFmtId="0" fontId="19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vertical="center" textRotation="90"/>
    </xf>
    <xf numFmtId="0" fontId="23" fillId="0" borderId="0" xfId="0" applyFont="1" applyFill="1" applyBorder="1" applyAlignment="1">
      <alignment/>
    </xf>
    <xf numFmtId="0" fontId="19" fillId="0" borderId="0" xfId="0" applyFont="1" applyFill="1" applyBorder="1" applyAlignment="1">
      <alignment textRotation="90" wrapText="1"/>
    </xf>
    <xf numFmtId="16" fontId="19" fillId="0" borderId="0" xfId="0" applyNumberFormat="1" applyFont="1" applyFill="1" applyBorder="1" applyAlignment="1">
      <alignment textRotation="90"/>
    </xf>
    <xf numFmtId="0" fontId="19" fillId="0" borderId="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9" fillId="0" borderId="10" xfId="0" applyFont="1" applyFill="1" applyBorder="1" applyAlignment="1">
      <alignment horizontal="center" vertical="center" textRotation="90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0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357"/>
  <sheetViews>
    <sheetView tabSelected="1" zoomScalePageLayoutView="0" workbookViewId="0" topLeftCell="Q37">
      <selection activeCell="G59" sqref="G59"/>
    </sheetView>
  </sheetViews>
  <sheetFormatPr defaultColWidth="9.140625" defaultRowHeight="15"/>
  <cols>
    <col min="1" max="1" width="3.28125" style="9" customWidth="1"/>
    <col min="2" max="2" width="37.28125" style="9" customWidth="1"/>
    <col min="3" max="3" width="18.00390625" style="9" customWidth="1"/>
    <col min="4" max="4" width="22.7109375" style="9" customWidth="1"/>
    <col min="5" max="5" width="5.57421875" style="9" customWidth="1"/>
    <col min="6" max="6" width="11.421875" style="9" customWidth="1"/>
    <col min="7" max="7" width="25.421875" style="9" customWidth="1"/>
    <col min="8" max="11" width="5.57421875" style="9" customWidth="1"/>
    <col min="12" max="13" width="5.00390625" style="9" customWidth="1"/>
    <col min="14" max="15" width="4.8515625" style="9" customWidth="1"/>
    <col min="16" max="17" width="4.57421875" style="9" customWidth="1"/>
    <col min="18" max="18" width="4.421875" style="9" customWidth="1"/>
    <col min="19" max="19" width="5.28125" style="9" customWidth="1"/>
    <col min="20" max="20" width="4.140625" style="9" customWidth="1"/>
    <col min="21" max="24" width="5.28125" style="9" customWidth="1"/>
    <col min="25" max="25" width="11.8515625" style="9" customWidth="1"/>
    <col min="26" max="27" width="4.7109375" style="9" customWidth="1"/>
    <col min="28" max="28" width="4.7109375" style="4" customWidth="1"/>
    <col min="29" max="29" width="4.28125" style="4" customWidth="1"/>
    <col min="30" max="30" width="5.8515625" style="4" customWidth="1"/>
    <col min="31" max="31" width="4.57421875" style="4" customWidth="1"/>
    <col min="32" max="32" width="6.00390625" style="4" customWidth="1"/>
    <col min="33" max="37" width="4.57421875" style="4" customWidth="1"/>
    <col min="38" max="42" width="4.8515625" style="4" customWidth="1"/>
    <col min="43" max="43" width="8.421875" style="4" customWidth="1"/>
    <col min="44" max="44" width="14.140625" style="9" customWidth="1"/>
    <col min="45" max="45" width="4.57421875" style="9" customWidth="1"/>
    <col min="46" max="46" width="13.8515625" style="9" customWidth="1"/>
    <col min="47" max="16384" width="9.140625" style="9" customWidth="1"/>
  </cols>
  <sheetData>
    <row r="1" spans="1:47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R1" s="4"/>
      <c r="AS1" s="4"/>
      <c r="AT1" s="4"/>
      <c r="AU1" s="4"/>
    </row>
    <row r="2" spans="1:47" ht="15.75" customHeight="1">
      <c r="A2" s="31" t="s">
        <v>0</v>
      </c>
      <c r="B2" s="32" t="s">
        <v>1</v>
      </c>
      <c r="C2" s="32" t="s">
        <v>2</v>
      </c>
      <c r="D2" s="32" t="s">
        <v>3</v>
      </c>
      <c r="E2" s="31" t="s">
        <v>4</v>
      </c>
      <c r="F2" s="32" t="s">
        <v>5</v>
      </c>
      <c r="G2" s="32" t="s">
        <v>70</v>
      </c>
      <c r="H2" s="33" t="s">
        <v>108</v>
      </c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 t="s">
        <v>109</v>
      </c>
      <c r="AA2" s="33"/>
      <c r="AB2" s="33"/>
      <c r="AC2" s="33"/>
      <c r="AD2" s="33"/>
      <c r="AE2" s="33"/>
      <c r="AF2" s="33"/>
      <c r="AG2" s="33"/>
      <c r="AH2" s="33"/>
      <c r="AI2" s="33"/>
      <c r="AJ2" s="10"/>
      <c r="AK2" s="10"/>
      <c r="AR2" s="4"/>
      <c r="AS2" s="4"/>
      <c r="AT2" s="4"/>
      <c r="AU2" s="4"/>
    </row>
    <row r="3" spans="1:47" ht="69.75" customHeight="1">
      <c r="A3" s="31"/>
      <c r="B3" s="32"/>
      <c r="C3" s="32"/>
      <c r="D3" s="32"/>
      <c r="E3" s="31"/>
      <c r="F3" s="32"/>
      <c r="G3" s="32"/>
      <c r="H3" s="11" t="s">
        <v>6</v>
      </c>
      <c r="I3" s="11" t="s">
        <v>7</v>
      </c>
      <c r="J3" s="11" t="s">
        <v>8</v>
      </c>
      <c r="K3" s="11" t="s">
        <v>7</v>
      </c>
      <c r="L3" s="12" t="s">
        <v>9</v>
      </c>
      <c r="M3" s="12" t="s">
        <v>7</v>
      </c>
      <c r="N3" s="12" t="s">
        <v>10</v>
      </c>
      <c r="O3" s="12" t="s">
        <v>7</v>
      </c>
      <c r="P3" s="12" t="s">
        <v>11</v>
      </c>
      <c r="Q3" s="12" t="s">
        <v>7</v>
      </c>
      <c r="R3" s="12" t="s">
        <v>12</v>
      </c>
      <c r="S3" s="12" t="s">
        <v>7</v>
      </c>
      <c r="T3" s="32" t="s">
        <v>13</v>
      </c>
      <c r="U3" s="32"/>
      <c r="V3" s="32"/>
      <c r="W3" s="32" t="s">
        <v>14</v>
      </c>
      <c r="X3" s="32"/>
      <c r="Y3" s="1" t="s">
        <v>15</v>
      </c>
      <c r="Z3" s="12" t="s">
        <v>16</v>
      </c>
      <c r="AA3" s="12" t="s">
        <v>7</v>
      </c>
      <c r="AB3" s="12" t="s">
        <v>17</v>
      </c>
      <c r="AC3" s="12" t="s">
        <v>7</v>
      </c>
      <c r="AD3" s="13" t="s">
        <v>18</v>
      </c>
      <c r="AE3" s="12" t="s">
        <v>7</v>
      </c>
      <c r="AF3" s="13" t="s">
        <v>19</v>
      </c>
      <c r="AG3" s="12" t="s">
        <v>7</v>
      </c>
      <c r="AH3" s="12" t="s">
        <v>20</v>
      </c>
      <c r="AI3" s="12" t="s">
        <v>7</v>
      </c>
      <c r="AJ3" s="12" t="s">
        <v>21</v>
      </c>
      <c r="AK3" s="12" t="s">
        <v>7</v>
      </c>
      <c r="AL3" s="32" t="s">
        <v>13</v>
      </c>
      <c r="AM3" s="32"/>
      <c r="AN3" s="32"/>
      <c r="AO3" s="32" t="s">
        <v>14</v>
      </c>
      <c r="AP3" s="32"/>
      <c r="AQ3" s="1" t="s">
        <v>22</v>
      </c>
      <c r="AR3" s="1" t="s">
        <v>23</v>
      </c>
      <c r="AS3" s="14" t="s">
        <v>110</v>
      </c>
      <c r="AT3" s="1" t="s">
        <v>75</v>
      </c>
      <c r="AU3" s="1" t="s">
        <v>76</v>
      </c>
    </row>
    <row r="4" spans="1:47" s="16" customFormat="1" ht="11.25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7"/>
    </row>
    <row r="5" spans="1:47" ht="15.75">
      <c r="A5" s="4">
        <v>1</v>
      </c>
      <c r="B5" s="4" t="s">
        <v>77</v>
      </c>
      <c r="C5" s="4" t="s">
        <v>43</v>
      </c>
      <c r="D5" s="4" t="s">
        <v>25</v>
      </c>
      <c r="E5" s="4" t="s">
        <v>28</v>
      </c>
      <c r="F5" s="4" t="s">
        <v>27</v>
      </c>
      <c r="G5" s="4" t="s">
        <v>71</v>
      </c>
      <c r="H5" s="4">
        <v>5</v>
      </c>
      <c r="I5" s="6">
        <f>386*0.035</f>
        <v>13.510000000000002</v>
      </c>
      <c r="J5" s="4">
        <v>9</v>
      </c>
      <c r="K5" s="6">
        <f>346*0.576</f>
        <v>199.296</v>
      </c>
      <c r="L5" s="4">
        <v>3</v>
      </c>
      <c r="M5" s="6">
        <f>SUM(406*0.1)</f>
        <v>40.6</v>
      </c>
      <c r="N5" s="4">
        <v>2</v>
      </c>
      <c r="O5" s="6">
        <f>SUM(416*0.7*0.1)</f>
        <v>29.12</v>
      </c>
      <c r="P5" s="4">
        <v>8</v>
      </c>
      <c r="Q5" s="6">
        <f aca="true" t="shared" si="0" ref="Q5:Q10">356*0.576</f>
        <v>205.05599999999998</v>
      </c>
      <c r="R5" s="4">
        <v>2</v>
      </c>
      <c r="S5" s="6">
        <f>SUM(416*1.4*0.7*0.1)</f>
        <v>40.768</v>
      </c>
      <c r="T5" s="6">
        <f>SUM(426*0.25*0.3)</f>
        <v>31.95</v>
      </c>
      <c r="U5" s="6">
        <f aca="true" t="shared" si="1" ref="U5:U10">SUM(426*0.15*0.1)</f>
        <v>6.390000000000001</v>
      </c>
      <c r="V5" s="6"/>
      <c r="W5" s="6"/>
      <c r="X5" s="6"/>
      <c r="Y5" s="6">
        <f>SUM(I5+K5+M5+O5+Q5+S5+T5+U5)</f>
        <v>566.6899999999999</v>
      </c>
      <c r="Z5" s="4">
        <v>1</v>
      </c>
      <c r="AA5" s="6">
        <f>426*0.5*0.4*0.1</f>
        <v>8.520000000000001</v>
      </c>
      <c r="AB5" s="4">
        <v>1</v>
      </c>
      <c r="AC5" s="6">
        <f>180*0.196</f>
        <v>35.28</v>
      </c>
      <c r="AD5" s="4">
        <v>4</v>
      </c>
      <c r="AE5" s="6">
        <f aca="true" t="shared" si="2" ref="AE5:AE10">150*0.1</f>
        <v>15</v>
      </c>
      <c r="AF5" s="4">
        <v>2</v>
      </c>
      <c r="AG5" s="6">
        <f aca="true" t="shared" si="3" ref="AG5:AG10">170*0.1</f>
        <v>17</v>
      </c>
      <c r="AH5" s="4">
        <v>7</v>
      </c>
      <c r="AI5" s="6">
        <f>120*0.504</f>
        <v>60.480000000000004</v>
      </c>
      <c r="AJ5" s="4">
        <v>1</v>
      </c>
      <c r="AK5" s="6">
        <f>180*0.28</f>
        <v>50.400000000000006</v>
      </c>
      <c r="AQ5" s="6">
        <f>AA5+AC5+AE5+AG5+AI5+AK5</f>
        <v>186.68000000000004</v>
      </c>
      <c r="AR5" s="5">
        <f aca="true" t="shared" si="4" ref="AR5:AR36">Y5+AQ5</f>
        <v>753.37</v>
      </c>
      <c r="AS5" s="5"/>
      <c r="AT5" s="5">
        <f aca="true" t="shared" si="5" ref="AT5:AT19">AR5</f>
        <v>753.37</v>
      </c>
      <c r="AU5" s="28" t="s">
        <v>30</v>
      </c>
    </row>
    <row r="6" spans="1:47" ht="15.75">
      <c r="A6" s="4">
        <v>2</v>
      </c>
      <c r="B6" s="4" t="s">
        <v>49</v>
      </c>
      <c r="C6" s="4" t="s">
        <v>43</v>
      </c>
      <c r="D6" s="4" t="s">
        <v>25</v>
      </c>
      <c r="E6" s="4" t="s">
        <v>28</v>
      </c>
      <c r="F6" s="4" t="s">
        <v>27</v>
      </c>
      <c r="G6" s="4" t="s">
        <v>71</v>
      </c>
      <c r="H6" s="4"/>
      <c r="I6" s="4"/>
      <c r="J6" s="4">
        <v>9</v>
      </c>
      <c r="K6" s="6">
        <f>346*0.576</f>
        <v>199.296</v>
      </c>
      <c r="L6" s="4">
        <v>11</v>
      </c>
      <c r="M6" s="6">
        <f>SUM(331*0.1)</f>
        <v>33.1</v>
      </c>
      <c r="N6" s="4"/>
      <c r="O6" s="4"/>
      <c r="P6" s="4">
        <v>8</v>
      </c>
      <c r="Q6" s="6">
        <f t="shared" si="0"/>
        <v>205.05599999999998</v>
      </c>
      <c r="R6" s="4"/>
      <c r="S6" s="4"/>
      <c r="T6" s="6">
        <f>SUM(426*0.25*0.3)</f>
        <v>31.95</v>
      </c>
      <c r="U6" s="6">
        <f t="shared" si="1"/>
        <v>6.390000000000001</v>
      </c>
      <c r="V6" s="6"/>
      <c r="W6" s="4"/>
      <c r="X6" s="4"/>
      <c r="Y6" s="6">
        <f>SUM(K6+M6+Q6+T6+U6)</f>
        <v>475.792</v>
      </c>
      <c r="Z6" s="4"/>
      <c r="AA6" s="4"/>
      <c r="AD6" s="4">
        <v>4</v>
      </c>
      <c r="AE6" s="6">
        <f t="shared" si="2"/>
        <v>15</v>
      </c>
      <c r="AF6" s="4">
        <v>2</v>
      </c>
      <c r="AG6" s="6">
        <f t="shared" si="3"/>
        <v>17</v>
      </c>
      <c r="AH6" s="4">
        <v>7</v>
      </c>
      <c r="AI6" s="6">
        <f>120*0.504</f>
        <v>60.480000000000004</v>
      </c>
      <c r="AJ6" s="4">
        <v>1</v>
      </c>
      <c r="AK6" s="6">
        <f>180*0.28</f>
        <v>50.400000000000006</v>
      </c>
      <c r="AQ6" s="6">
        <f>AE6+AG6+AI6+AK6</f>
        <v>142.88</v>
      </c>
      <c r="AR6" s="5">
        <f t="shared" si="4"/>
        <v>618.672</v>
      </c>
      <c r="AS6" s="5"/>
      <c r="AT6" s="5">
        <f t="shared" si="5"/>
        <v>618.672</v>
      </c>
      <c r="AU6" s="28" t="s">
        <v>31</v>
      </c>
    </row>
    <row r="7" spans="1:47" ht="15.75">
      <c r="A7" s="4">
        <v>3</v>
      </c>
      <c r="B7" s="4" t="s">
        <v>42</v>
      </c>
      <c r="C7" s="4" t="s">
        <v>43</v>
      </c>
      <c r="D7" s="4" t="s">
        <v>25</v>
      </c>
      <c r="E7" s="4" t="s">
        <v>28</v>
      </c>
      <c r="F7" s="4" t="s">
        <v>27</v>
      </c>
      <c r="G7" s="4" t="s">
        <v>71</v>
      </c>
      <c r="H7" s="4">
        <v>5</v>
      </c>
      <c r="I7" s="6">
        <f>386*0.035</f>
        <v>13.510000000000002</v>
      </c>
      <c r="J7" s="6"/>
      <c r="K7" s="6"/>
      <c r="L7" s="4">
        <v>16</v>
      </c>
      <c r="M7" s="6">
        <f>SUM(306*0.1)</f>
        <v>30.6</v>
      </c>
      <c r="N7" s="4">
        <v>2</v>
      </c>
      <c r="O7" s="6">
        <f>SUM(416*0.7*0.1)</f>
        <v>29.12</v>
      </c>
      <c r="P7" s="4">
        <v>8</v>
      </c>
      <c r="Q7" s="6">
        <f t="shared" si="0"/>
        <v>205.05599999999998</v>
      </c>
      <c r="R7" s="4">
        <v>1</v>
      </c>
      <c r="S7" s="6">
        <f>SUM(426*1.2*0.7*0.1)</f>
        <v>35.784</v>
      </c>
      <c r="T7" s="6">
        <f>SUM(426*0.25*0.3)</f>
        <v>31.95</v>
      </c>
      <c r="U7" s="6">
        <f t="shared" si="1"/>
        <v>6.390000000000001</v>
      </c>
      <c r="V7" s="6"/>
      <c r="W7" s="6"/>
      <c r="X7" s="6"/>
      <c r="Y7" s="6">
        <f>SUM(I7+M7+O7+Q7+S7+T7+U7)</f>
        <v>352.40999999999997</v>
      </c>
      <c r="Z7" s="4">
        <v>1</v>
      </c>
      <c r="AA7" s="6">
        <f>426*0.5*0.4*0.1</f>
        <v>8.520000000000001</v>
      </c>
      <c r="AB7" s="4">
        <v>1</v>
      </c>
      <c r="AC7" s="6">
        <f>180*0.196</f>
        <v>35.28</v>
      </c>
      <c r="AD7" s="4">
        <v>4</v>
      </c>
      <c r="AE7" s="6">
        <f t="shared" si="2"/>
        <v>15</v>
      </c>
      <c r="AF7" s="4">
        <v>2</v>
      </c>
      <c r="AG7" s="6">
        <f t="shared" si="3"/>
        <v>17</v>
      </c>
      <c r="AH7" s="4">
        <v>7</v>
      </c>
      <c r="AI7" s="6">
        <f>120*0.504</f>
        <v>60.480000000000004</v>
      </c>
      <c r="AJ7" s="4">
        <v>1</v>
      </c>
      <c r="AK7" s="6">
        <f>180*0.28</f>
        <v>50.400000000000006</v>
      </c>
      <c r="AQ7" s="6">
        <f>AA7+AC7+AE7+AG7+AI7+AK7</f>
        <v>186.68000000000004</v>
      </c>
      <c r="AR7" s="5">
        <f t="shared" si="4"/>
        <v>539.09</v>
      </c>
      <c r="AS7" s="5"/>
      <c r="AT7" s="5">
        <f t="shared" si="5"/>
        <v>539.09</v>
      </c>
      <c r="AU7" s="28" t="s">
        <v>29</v>
      </c>
    </row>
    <row r="8" spans="1:47" ht="15.75">
      <c r="A8" s="4">
        <v>4</v>
      </c>
      <c r="B8" s="4" t="s">
        <v>52</v>
      </c>
      <c r="C8" s="4" t="s">
        <v>43</v>
      </c>
      <c r="D8" s="4" t="s">
        <v>25</v>
      </c>
      <c r="E8" s="4" t="s">
        <v>28</v>
      </c>
      <c r="F8" s="4" t="s">
        <v>27</v>
      </c>
      <c r="G8" s="4" t="s">
        <v>71</v>
      </c>
      <c r="H8" s="4"/>
      <c r="I8" s="4"/>
      <c r="J8" s="4"/>
      <c r="K8" s="4"/>
      <c r="L8" s="4">
        <v>14</v>
      </c>
      <c r="M8" s="6">
        <f>SUM(316*0.1)</f>
        <v>31.6</v>
      </c>
      <c r="N8" s="4"/>
      <c r="O8" s="4"/>
      <c r="P8" s="4">
        <v>8</v>
      </c>
      <c r="Q8" s="6">
        <f t="shared" si="0"/>
        <v>205.05599999999998</v>
      </c>
      <c r="R8" s="4">
        <v>3</v>
      </c>
      <c r="S8" s="6">
        <f>SUM(406*1.4*0.7*0.1)</f>
        <v>39.788</v>
      </c>
      <c r="T8" s="6">
        <f>SUM(426*0.25*0.3)</f>
        <v>31.95</v>
      </c>
      <c r="U8" s="6">
        <f t="shared" si="1"/>
        <v>6.390000000000001</v>
      </c>
      <c r="V8" s="6"/>
      <c r="W8" s="6"/>
      <c r="X8" s="6"/>
      <c r="Y8" s="6">
        <f>SUM(M8+Q8+S8+T8+U8)</f>
        <v>314.78399999999993</v>
      </c>
      <c r="Z8" s="4"/>
      <c r="AA8" s="4"/>
      <c r="AB8" s="4">
        <v>1</v>
      </c>
      <c r="AC8" s="6">
        <f>180*0.196</f>
        <v>35.28</v>
      </c>
      <c r="AD8" s="4">
        <v>4</v>
      </c>
      <c r="AE8" s="6">
        <f t="shared" si="2"/>
        <v>15</v>
      </c>
      <c r="AF8" s="4">
        <v>2</v>
      </c>
      <c r="AG8" s="6">
        <f t="shared" si="3"/>
        <v>17</v>
      </c>
      <c r="AH8" s="4">
        <v>7</v>
      </c>
      <c r="AI8" s="6">
        <f>120*0.504</f>
        <v>60.480000000000004</v>
      </c>
      <c r="AJ8" s="4">
        <v>1</v>
      </c>
      <c r="AK8" s="6">
        <f>180*0.28</f>
        <v>50.400000000000006</v>
      </c>
      <c r="AQ8" s="6">
        <f>AC8+AE8+AG8+AI8+AK8</f>
        <v>178.16000000000003</v>
      </c>
      <c r="AR8" s="5">
        <f t="shared" si="4"/>
        <v>492.94399999999996</v>
      </c>
      <c r="AS8" s="5"/>
      <c r="AT8" s="5">
        <f t="shared" si="5"/>
        <v>492.94399999999996</v>
      </c>
      <c r="AU8" s="29">
        <v>4</v>
      </c>
    </row>
    <row r="9" spans="1:47" ht="15.75">
      <c r="A9" s="4">
        <v>5</v>
      </c>
      <c r="B9" s="4" t="s">
        <v>48</v>
      </c>
      <c r="C9" s="4" t="s">
        <v>43</v>
      </c>
      <c r="D9" s="4" t="s">
        <v>25</v>
      </c>
      <c r="E9" s="4" t="s">
        <v>28</v>
      </c>
      <c r="F9" s="4" t="s">
        <v>27</v>
      </c>
      <c r="G9" s="4" t="s">
        <v>71</v>
      </c>
      <c r="H9" s="4"/>
      <c r="I9" s="4"/>
      <c r="J9" s="4"/>
      <c r="K9" s="4"/>
      <c r="L9" s="4">
        <v>2</v>
      </c>
      <c r="M9" s="6">
        <f>SUM(416*0.1)</f>
        <v>41.6</v>
      </c>
      <c r="N9" s="4">
        <v>1</v>
      </c>
      <c r="O9" s="6">
        <f>SUM(426*0.7*0.1)</f>
        <v>29.82</v>
      </c>
      <c r="P9" s="4">
        <v>8</v>
      </c>
      <c r="Q9" s="6">
        <f t="shared" si="0"/>
        <v>205.05599999999998</v>
      </c>
      <c r="R9" s="4">
        <v>1</v>
      </c>
      <c r="S9" s="6">
        <f>SUM(426*1.4*0.7*0.1)</f>
        <v>41.748</v>
      </c>
      <c r="T9" s="6">
        <v>0</v>
      </c>
      <c r="U9" s="6">
        <f t="shared" si="1"/>
        <v>6.390000000000001</v>
      </c>
      <c r="V9" s="6"/>
      <c r="W9" s="6"/>
      <c r="X9" s="6"/>
      <c r="Y9" s="6">
        <f>SUM(M9+O9+Q9+S9+U9)</f>
        <v>324.614</v>
      </c>
      <c r="Z9" s="4">
        <v>1</v>
      </c>
      <c r="AA9" s="6">
        <f>426*0.5*0.4*0.1</f>
        <v>8.520000000000001</v>
      </c>
      <c r="AB9" s="4">
        <v>1</v>
      </c>
      <c r="AC9" s="6">
        <f>180*0.196</f>
        <v>35.28</v>
      </c>
      <c r="AD9" s="4">
        <v>4</v>
      </c>
      <c r="AE9" s="6">
        <f t="shared" si="2"/>
        <v>15</v>
      </c>
      <c r="AF9" s="4">
        <v>2</v>
      </c>
      <c r="AG9" s="6">
        <f t="shared" si="3"/>
        <v>17</v>
      </c>
      <c r="AJ9" s="4">
        <v>1</v>
      </c>
      <c r="AK9" s="6">
        <f>180*0.28</f>
        <v>50.400000000000006</v>
      </c>
      <c r="AQ9" s="6">
        <f>AA9+AC9+AE9+AG9+AK9</f>
        <v>126.20000000000002</v>
      </c>
      <c r="AR9" s="5">
        <f t="shared" si="4"/>
        <v>450.81399999999996</v>
      </c>
      <c r="AS9" s="5"/>
      <c r="AT9" s="5">
        <f t="shared" si="5"/>
        <v>450.81399999999996</v>
      </c>
      <c r="AU9" s="29">
        <v>5</v>
      </c>
    </row>
    <row r="10" spans="1:47" ht="15.75">
      <c r="A10" s="4">
        <v>6</v>
      </c>
      <c r="B10" s="4" t="s">
        <v>78</v>
      </c>
      <c r="C10" s="4" t="s">
        <v>43</v>
      </c>
      <c r="D10" s="4" t="s">
        <v>25</v>
      </c>
      <c r="E10" s="4" t="s">
        <v>28</v>
      </c>
      <c r="F10" s="4" t="s">
        <v>27</v>
      </c>
      <c r="G10" s="4" t="s">
        <v>71</v>
      </c>
      <c r="H10" s="4"/>
      <c r="I10" s="4"/>
      <c r="J10" s="4"/>
      <c r="K10" s="4"/>
      <c r="L10" s="4">
        <v>2</v>
      </c>
      <c r="M10" s="6">
        <f>SUM(416*0.1)</f>
        <v>41.6</v>
      </c>
      <c r="N10" s="4">
        <v>2</v>
      </c>
      <c r="O10" s="6">
        <f>SUM(416*0.7*0.1)</f>
        <v>29.12</v>
      </c>
      <c r="P10" s="4">
        <v>8</v>
      </c>
      <c r="Q10" s="6">
        <f t="shared" si="0"/>
        <v>205.05599999999998</v>
      </c>
      <c r="R10" s="4"/>
      <c r="S10" s="4"/>
      <c r="T10" s="6">
        <v>0</v>
      </c>
      <c r="U10" s="6">
        <f t="shared" si="1"/>
        <v>6.390000000000001</v>
      </c>
      <c r="V10" s="6"/>
      <c r="W10" s="4"/>
      <c r="X10" s="4"/>
      <c r="Y10" s="6">
        <f>SUM(M10+O10+Q10+U10)</f>
        <v>282.16599999999994</v>
      </c>
      <c r="Z10" s="4">
        <v>1</v>
      </c>
      <c r="AA10" s="6">
        <f>426*0.5*0.4*0.1</f>
        <v>8.520000000000001</v>
      </c>
      <c r="AD10" s="4">
        <v>4</v>
      </c>
      <c r="AE10" s="6">
        <f t="shared" si="2"/>
        <v>15</v>
      </c>
      <c r="AF10" s="4">
        <v>2</v>
      </c>
      <c r="AG10" s="6">
        <f t="shared" si="3"/>
        <v>17</v>
      </c>
      <c r="AH10" s="4">
        <v>7</v>
      </c>
      <c r="AI10" s="6">
        <f>120*0.504</f>
        <v>60.480000000000004</v>
      </c>
      <c r="AQ10" s="6">
        <f>AA10+AE10+AG10+AI10</f>
        <v>101</v>
      </c>
      <c r="AR10" s="5">
        <f t="shared" si="4"/>
        <v>383.16599999999994</v>
      </c>
      <c r="AS10" s="5"/>
      <c r="AT10" s="5">
        <f t="shared" si="5"/>
        <v>383.16599999999994</v>
      </c>
      <c r="AU10" s="29">
        <v>6</v>
      </c>
    </row>
    <row r="11" spans="1:47" ht="15.75">
      <c r="A11" s="4">
        <v>7</v>
      </c>
      <c r="B11" s="4" t="s">
        <v>79</v>
      </c>
      <c r="C11" s="4" t="s">
        <v>32</v>
      </c>
      <c r="D11" s="4" t="s">
        <v>33</v>
      </c>
      <c r="E11" s="4" t="s">
        <v>26</v>
      </c>
      <c r="F11" s="4" t="s">
        <v>34</v>
      </c>
      <c r="G11" s="4" t="s">
        <v>72</v>
      </c>
      <c r="H11" s="4"/>
      <c r="I11" s="4"/>
      <c r="J11" s="4">
        <v>9</v>
      </c>
      <c r="K11" s="6">
        <f>346*0.576</f>
        <v>199.296</v>
      </c>
      <c r="L11" s="4">
        <v>1</v>
      </c>
      <c r="M11" s="6">
        <f>SUM(426*0.1)</f>
        <v>42.6</v>
      </c>
      <c r="N11" s="4">
        <v>1</v>
      </c>
      <c r="O11" s="6">
        <f>SUM(426*0.7*0.1)</f>
        <v>29.82</v>
      </c>
      <c r="P11" s="4"/>
      <c r="Q11" s="4"/>
      <c r="R11" s="4"/>
      <c r="S11" s="4"/>
      <c r="T11" s="4"/>
      <c r="U11" s="4"/>
      <c r="V11" s="4"/>
      <c r="W11" s="4"/>
      <c r="X11" s="4"/>
      <c r="Y11" s="6">
        <f>SUM(K11+M11+O11)</f>
        <v>271.716</v>
      </c>
      <c r="Z11" s="4"/>
      <c r="AA11" s="4"/>
      <c r="AL11" s="6">
        <f>180*0.015</f>
        <v>2.6999999999999997</v>
      </c>
      <c r="AM11" s="6">
        <f>180*0.015</f>
        <v>2.6999999999999997</v>
      </c>
      <c r="AN11" s="6">
        <f>180*0.04</f>
        <v>7.2</v>
      </c>
      <c r="AQ11" s="6">
        <f>AL11+AM11+AN11</f>
        <v>12.6</v>
      </c>
      <c r="AR11" s="5">
        <f t="shared" si="4"/>
        <v>284.31600000000003</v>
      </c>
      <c r="AS11" s="5"/>
      <c r="AT11" s="5">
        <f t="shared" si="5"/>
        <v>284.31600000000003</v>
      </c>
      <c r="AU11" s="29">
        <v>7</v>
      </c>
    </row>
    <row r="12" spans="1:47" ht="15.75">
      <c r="A12" s="4">
        <v>8</v>
      </c>
      <c r="B12" s="4" t="s">
        <v>80</v>
      </c>
      <c r="C12" s="4" t="s">
        <v>32</v>
      </c>
      <c r="D12" s="4" t="s">
        <v>33</v>
      </c>
      <c r="E12" s="4" t="s">
        <v>26</v>
      </c>
      <c r="F12" s="4" t="s">
        <v>34</v>
      </c>
      <c r="G12" s="4" t="s">
        <v>72</v>
      </c>
      <c r="H12" s="4"/>
      <c r="I12" s="4"/>
      <c r="J12" s="4">
        <v>9</v>
      </c>
      <c r="K12" s="6">
        <f>346*0.576</f>
        <v>199.296</v>
      </c>
      <c r="L12" s="4">
        <v>25</v>
      </c>
      <c r="M12" s="6">
        <f>SUM(276*0.1)</f>
        <v>27.6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6">
        <f>SUM(K12+M12)</f>
        <v>226.896</v>
      </c>
      <c r="Z12" s="4"/>
      <c r="AA12" s="4"/>
      <c r="AJ12" s="4">
        <v>3</v>
      </c>
      <c r="AK12" s="6">
        <f>160*0.28</f>
        <v>44.800000000000004</v>
      </c>
      <c r="AL12" s="6">
        <f>180*0.015</f>
        <v>2.6999999999999997</v>
      </c>
      <c r="AM12" s="6">
        <f>180*0.015</f>
        <v>2.6999999999999997</v>
      </c>
      <c r="AN12" s="6">
        <f>180*0.04</f>
        <v>7.2</v>
      </c>
      <c r="AQ12" s="6">
        <f>AK12+AL12+AM12+AN12</f>
        <v>57.40000000000001</v>
      </c>
      <c r="AR12" s="5">
        <f t="shared" si="4"/>
        <v>284.296</v>
      </c>
      <c r="AS12" s="5"/>
      <c r="AT12" s="5">
        <f t="shared" si="5"/>
        <v>284.296</v>
      </c>
      <c r="AU12" s="29">
        <v>8</v>
      </c>
    </row>
    <row r="13" spans="1:47" ht="15.75">
      <c r="A13" s="4">
        <v>9</v>
      </c>
      <c r="B13" s="4" t="s">
        <v>51</v>
      </c>
      <c r="C13" s="4" t="s">
        <v>43</v>
      </c>
      <c r="D13" s="4" t="s">
        <v>25</v>
      </c>
      <c r="E13" s="4" t="s">
        <v>28</v>
      </c>
      <c r="F13" s="4" t="s">
        <v>27</v>
      </c>
      <c r="G13" s="4" t="s">
        <v>71</v>
      </c>
      <c r="H13" s="4">
        <v>4</v>
      </c>
      <c r="I13" s="6">
        <f>396*0.035</f>
        <v>13.860000000000001</v>
      </c>
      <c r="J13" s="6"/>
      <c r="K13" s="6"/>
      <c r="L13" s="4">
        <v>18</v>
      </c>
      <c r="M13" s="6">
        <f>SUM(296*0.1)</f>
        <v>29.6</v>
      </c>
      <c r="N13" s="4"/>
      <c r="O13" s="4"/>
      <c r="P13" s="4">
        <v>8</v>
      </c>
      <c r="Q13" s="6">
        <f>356*0.3</f>
        <v>106.8</v>
      </c>
      <c r="R13" s="4"/>
      <c r="S13" s="4"/>
      <c r="T13" s="6">
        <v>0</v>
      </c>
      <c r="U13" s="6">
        <f>SUM(426*0.15*0.1)</f>
        <v>6.390000000000001</v>
      </c>
      <c r="V13" s="6"/>
      <c r="W13" s="4"/>
      <c r="X13" s="4"/>
      <c r="Y13" s="6">
        <f>SUM(I13+M13+Q13+U13)</f>
        <v>156.64999999999998</v>
      </c>
      <c r="Z13" s="4"/>
      <c r="AA13" s="4"/>
      <c r="AD13" s="4">
        <v>4</v>
      </c>
      <c r="AE13" s="6">
        <f>150*0.1</f>
        <v>15</v>
      </c>
      <c r="AF13" s="4">
        <v>2</v>
      </c>
      <c r="AG13" s="6">
        <f>170*0.1</f>
        <v>17</v>
      </c>
      <c r="AH13" s="4">
        <v>7</v>
      </c>
      <c r="AI13" s="6">
        <f>120*0.504</f>
        <v>60.480000000000004</v>
      </c>
      <c r="AQ13" s="6">
        <f>AE13+AG13+AI13</f>
        <v>92.48</v>
      </c>
      <c r="AR13" s="5">
        <f t="shared" si="4"/>
        <v>249.13</v>
      </c>
      <c r="AS13" s="5"/>
      <c r="AT13" s="5">
        <f t="shared" si="5"/>
        <v>249.13</v>
      </c>
      <c r="AU13" s="29">
        <v>9</v>
      </c>
    </row>
    <row r="14" spans="1:47" ht="15.75">
      <c r="A14" s="4">
        <v>10</v>
      </c>
      <c r="B14" s="4" t="s">
        <v>81</v>
      </c>
      <c r="C14" s="4" t="s">
        <v>32</v>
      </c>
      <c r="D14" s="4" t="s">
        <v>33</v>
      </c>
      <c r="E14" s="4" t="s">
        <v>26</v>
      </c>
      <c r="F14" s="4" t="s">
        <v>34</v>
      </c>
      <c r="G14" s="4" t="s">
        <v>72</v>
      </c>
      <c r="H14" s="4"/>
      <c r="I14" s="4"/>
      <c r="J14" s="4">
        <v>9</v>
      </c>
      <c r="K14" s="6">
        <f>346*0.576</f>
        <v>199.296</v>
      </c>
      <c r="L14" s="4">
        <v>17</v>
      </c>
      <c r="M14" s="6">
        <f>SUM(301*0.1)</f>
        <v>30.1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6">
        <f>SUM(K14+M14)</f>
        <v>229.396</v>
      </c>
      <c r="Z14" s="4"/>
      <c r="AA14" s="4"/>
      <c r="AL14" s="6">
        <f>180*0.015</f>
        <v>2.6999999999999997</v>
      </c>
      <c r="AM14" s="6">
        <f>180*0.015</f>
        <v>2.6999999999999997</v>
      </c>
      <c r="AN14" s="6">
        <f>180*0.04</f>
        <v>7.2</v>
      </c>
      <c r="AQ14" s="6">
        <f>AL14+AM14+AN14</f>
        <v>12.6</v>
      </c>
      <c r="AR14" s="5">
        <f t="shared" si="4"/>
        <v>241.99599999999998</v>
      </c>
      <c r="AS14" s="5"/>
      <c r="AT14" s="5">
        <f t="shared" si="5"/>
        <v>241.99599999999998</v>
      </c>
      <c r="AU14" s="29">
        <v>10</v>
      </c>
    </row>
    <row r="15" spans="1:47" ht="15.75">
      <c r="A15" s="4">
        <v>11</v>
      </c>
      <c r="B15" s="4" t="s">
        <v>82</v>
      </c>
      <c r="C15" s="4" t="s">
        <v>32</v>
      </c>
      <c r="D15" s="4" t="s">
        <v>33</v>
      </c>
      <c r="E15" s="4" t="s">
        <v>26</v>
      </c>
      <c r="F15" s="4" t="s">
        <v>34</v>
      </c>
      <c r="G15" s="4" t="s">
        <v>72</v>
      </c>
      <c r="H15" s="4"/>
      <c r="I15" s="4"/>
      <c r="J15" s="4">
        <v>9</v>
      </c>
      <c r="K15" s="6">
        <f>346*0.576</f>
        <v>199.296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6">
        <f>K15</f>
        <v>199.296</v>
      </c>
      <c r="Z15" s="4"/>
      <c r="AA15" s="4"/>
      <c r="AL15" s="6">
        <f>180*0.015</f>
        <v>2.6999999999999997</v>
      </c>
      <c r="AM15" s="6">
        <f>180*0.015</f>
        <v>2.6999999999999997</v>
      </c>
      <c r="AN15" s="6">
        <f>180*0.04</f>
        <v>7.2</v>
      </c>
      <c r="AQ15" s="6">
        <f>AL15+AM15+AN15</f>
        <v>12.6</v>
      </c>
      <c r="AR15" s="5">
        <f t="shared" si="4"/>
        <v>211.896</v>
      </c>
      <c r="AS15" s="5"/>
      <c r="AT15" s="5">
        <f t="shared" si="5"/>
        <v>211.896</v>
      </c>
      <c r="AU15" s="29">
        <v>11</v>
      </c>
    </row>
    <row r="16" spans="1:47" ht="15.75">
      <c r="A16" s="4">
        <v>12</v>
      </c>
      <c r="B16" s="4" t="s">
        <v>83</v>
      </c>
      <c r="C16" s="4" t="s">
        <v>65</v>
      </c>
      <c r="D16" s="4" t="s">
        <v>25</v>
      </c>
      <c r="E16" s="4" t="s">
        <v>26</v>
      </c>
      <c r="F16" s="4" t="s">
        <v>27</v>
      </c>
      <c r="G16" s="4" t="s">
        <v>66</v>
      </c>
      <c r="H16" s="4">
        <v>8</v>
      </c>
      <c r="I16" s="6">
        <f>356*0.035</f>
        <v>12.46</v>
      </c>
      <c r="J16" s="6"/>
      <c r="K16" s="6"/>
      <c r="L16" s="4">
        <v>10</v>
      </c>
      <c r="M16" s="6">
        <f>SUM(336*0.1)</f>
        <v>33.6</v>
      </c>
      <c r="N16" s="4">
        <v>5</v>
      </c>
      <c r="O16" s="6">
        <f>SUM(386*0.7*0.1)</f>
        <v>27.02</v>
      </c>
      <c r="P16" s="4"/>
      <c r="Q16" s="4"/>
      <c r="R16" s="4"/>
      <c r="S16" s="4"/>
      <c r="T16" s="18">
        <f>SUM(426*0.2*0.2)</f>
        <v>17.040000000000003</v>
      </c>
      <c r="U16" s="4"/>
      <c r="V16" s="4"/>
      <c r="W16" s="4"/>
      <c r="X16" s="4"/>
      <c r="Y16" s="6">
        <f>SUM(I16+M16+O16+T16)</f>
        <v>90.12</v>
      </c>
      <c r="Z16" s="4"/>
      <c r="AA16" s="4"/>
      <c r="AB16" s="4">
        <v>1</v>
      </c>
      <c r="AC16" s="6">
        <f>180*0.168</f>
        <v>30.240000000000002</v>
      </c>
      <c r="AD16" s="4">
        <v>6</v>
      </c>
      <c r="AE16" s="6">
        <f>130*0.1</f>
        <v>13</v>
      </c>
      <c r="AF16" s="4">
        <v>4</v>
      </c>
      <c r="AG16" s="6">
        <f>150*0.1</f>
        <v>15</v>
      </c>
      <c r="AJ16" s="4">
        <v>6</v>
      </c>
      <c r="AK16" s="6">
        <f>130*0.28</f>
        <v>36.400000000000006</v>
      </c>
      <c r="AQ16" s="6">
        <f>AC16+AE16+AG16+AK16</f>
        <v>94.64000000000001</v>
      </c>
      <c r="AR16" s="5">
        <f t="shared" si="4"/>
        <v>184.76000000000002</v>
      </c>
      <c r="AS16" s="5"/>
      <c r="AT16" s="5">
        <f t="shared" si="5"/>
        <v>184.76000000000002</v>
      </c>
      <c r="AU16" s="29">
        <v>12</v>
      </c>
    </row>
    <row r="17" spans="1:47" ht="15.75">
      <c r="A17" s="4">
        <v>13</v>
      </c>
      <c r="B17" s="4" t="s">
        <v>36</v>
      </c>
      <c r="C17" s="4" t="s">
        <v>32</v>
      </c>
      <c r="D17" s="4" t="s">
        <v>33</v>
      </c>
      <c r="E17" s="4" t="s">
        <v>26</v>
      </c>
      <c r="F17" s="4" t="s">
        <v>34</v>
      </c>
      <c r="G17" s="4" t="s">
        <v>72</v>
      </c>
      <c r="H17" s="4"/>
      <c r="I17" s="4"/>
      <c r="J17" s="4">
        <v>9</v>
      </c>
      <c r="K17" s="6">
        <f>346*0.3</f>
        <v>103.8</v>
      </c>
      <c r="L17" s="4">
        <v>1</v>
      </c>
      <c r="M17" s="6">
        <f>SUM(426*0.1)</f>
        <v>42.6</v>
      </c>
      <c r="N17" s="4">
        <v>2</v>
      </c>
      <c r="O17" s="6">
        <f>SUM(416*0.7*0.1)</f>
        <v>29.12</v>
      </c>
      <c r="P17" s="4"/>
      <c r="Q17" s="4"/>
      <c r="R17" s="4"/>
      <c r="S17" s="4"/>
      <c r="T17" s="4"/>
      <c r="U17" s="4"/>
      <c r="V17" s="4"/>
      <c r="W17" s="4"/>
      <c r="X17" s="4"/>
      <c r="Y17" s="6">
        <f>SUM(K17+M17+O17)</f>
        <v>175.52</v>
      </c>
      <c r="Z17" s="4"/>
      <c r="AA17" s="4"/>
      <c r="AL17" s="6">
        <f>180*0.015</f>
        <v>2.6999999999999997</v>
      </c>
      <c r="AM17" s="6" t="s">
        <v>37</v>
      </c>
      <c r="AN17" s="6" t="s">
        <v>37</v>
      </c>
      <c r="AQ17" s="6">
        <f>AL17</f>
        <v>2.6999999999999997</v>
      </c>
      <c r="AR17" s="5">
        <f t="shared" si="4"/>
        <v>178.22</v>
      </c>
      <c r="AS17" s="5"/>
      <c r="AT17" s="5">
        <f t="shared" si="5"/>
        <v>178.22</v>
      </c>
      <c r="AU17" s="29">
        <v>13</v>
      </c>
    </row>
    <row r="18" spans="1:47" ht="15.75">
      <c r="A18" s="4">
        <v>14</v>
      </c>
      <c r="B18" s="4" t="s">
        <v>46</v>
      </c>
      <c r="C18" s="4" t="s">
        <v>43</v>
      </c>
      <c r="D18" s="4" t="s">
        <v>25</v>
      </c>
      <c r="E18" s="4" t="s">
        <v>28</v>
      </c>
      <c r="F18" s="4" t="s">
        <v>27</v>
      </c>
      <c r="G18" s="4" t="s">
        <v>71</v>
      </c>
      <c r="H18" s="4"/>
      <c r="I18" s="4"/>
      <c r="J18" s="4"/>
      <c r="K18" s="4"/>
      <c r="L18" s="4">
        <v>20</v>
      </c>
      <c r="M18" s="6">
        <f>SUM(286*0.1)</f>
        <v>28.6</v>
      </c>
      <c r="N18" s="4"/>
      <c r="O18" s="4"/>
      <c r="P18" s="4"/>
      <c r="Q18" s="4"/>
      <c r="R18" s="4"/>
      <c r="S18" s="4"/>
      <c r="T18" s="6">
        <f>SUM(426*0.25*0.3)</f>
        <v>31.95</v>
      </c>
      <c r="U18" s="6">
        <f>SUM(426*0.15*0.1)</f>
        <v>6.390000000000001</v>
      </c>
      <c r="V18" s="6"/>
      <c r="W18" s="4"/>
      <c r="X18" s="4"/>
      <c r="Y18" s="6">
        <f>SUM(M18+T18+U18)</f>
        <v>66.94</v>
      </c>
      <c r="Z18" s="4"/>
      <c r="AA18" s="4"/>
      <c r="AH18" s="4">
        <v>7</v>
      </c>
      <c r="AI18" s="6">
        <f>120*0.504</f>
        <v>60.480000000000004</v>
      </c>
      <c r="AJ18" s="4">
        <v>1</v>
      </c>
      <c r="AK18" s="6">
        <f>180*0.28</f>
        <v>50.400000000000006</v>
      </c>
      <c r="AQ18" s="6">
        <f>AI18+AK18</f>
        <v>110.88000000000001</v>
      </c>
      <c r="AR18" s="5">
        <f t="shared" si="4"/>
        <v>177.82</v>
      </c>
      <c r="AS18" s="5"/>
      <c r="AT18" s="5">
        <f t="shared" si="5"/>
        <v>177.82</v>
      </c>
      <c r="AU18" s="29">
        <v>14</v>
      </c>
    </row>
    <row r="19" spans="1:47" ht="15.75">
      <c r="A19" s="4">
        <v>15</v>
      </c>
      <c r="B19" s="4" t="s">
        <v>47</v>
      </c>
      <c r="C19" s="4" t="s">
        <v>43</v>
      </c>
      <c r="D19" s="4" t="s">
        <v>25</v>
      </c>
      <c r="E19" s="4" t="s">
        <v>28</v>
      </c>
      <c r="F19" s="4" t="s">
        <v>27</v>
      </c>
      <c r="G19" s="4" t="s">
        <v>71</v>
      </c>
      <c r="H19" s="4"/>
      <c r="I19" s="4"/>
      <c r="J19" s="4"/>
      <c r="K19" s="4"/>
      <c r="L19" s="4">
        <v>16</v>
      </c>
      <c r="M19" s="6">
        <f>SUM(306*0.1)</f>
        <v>30.6</v>
      </c>
      <c r="N19" s="4">
        <v>2</v>
      </c>
      <c r="O19" s="6">
        <f>SUM(416*0.7*0.1)</f>
        <v>29.12</v>
      </c>
      <c r="P19" s="4"/>
      <c r="Q19" s="4"/>
      <c r="R19" s="4">
        <v>1</v>
      </c>
      <c r="S19" s="6">
        <f>SUM(426*0.7*0.1)</f>
        <v>29.82</v>
      </c>
      <c r="T19" s="6">
        <f>SUM(426*0.25*0.3)</f>
        <v>31.95</v>
      </c>
      <c r="U19" s="6">
        <f>SUM(426*0.15*0.1)</f>
        <v>6.390000000000001</v>
      </c>
      <c r="V19" s="6"/>
      <c r="W19" s="6"/>
      <c r="X19" s="6"/>
      <c r="Y19" s="6">
        <f>SUM(M19+O19+S19+T19+U19)</f>
        <v>127.88</v>
      </c>
      <c r="Z19" s="4"/>
      <c r="AA19" s="4"/>
      <c r="AB19" s="4">
        <v>4</v>
      </c>
      <c r="AC19" s="6">
        <f>150*0.168</f>
        <v>25.200000000000003</v>
      </c>
      <c r="AJ19" s="4">
        <v>7</v>
      </c>
      <c r="AK19" s="6">
        <f>120*0.2</f>
        <v>24</v>
      </c>
      <c r="AQ19" s="6">
        <f>AC19+AK19</f>
        <v>49.2</v>
      </c>
      <c r="AR19" s="5">
        <f t="shared" si="4"/>
        <v>177.07999999999998</v>
      </c>
      <c r="AS19" s="5"/>
      <c r="AT19" s="5">
        <f t="shared" si="5"/>
        <v>177.07999999999998</v>
      </c>
      <c r="AU19" s="29">
        <v>15</v>
      </c>
    </row>
    <row r="20" spans="1:47" ht="15.75">
      <c r="A20" s="4">
        <v>16</v>
      </c>
      <c r="B20" s="4" t="s">
        <v>38</v>
      </c>
      <c r="C20" s="4" t="s">
        <v>32</v>
      </c>
      <c r="D20" s="4" t="s">
        <v>33</v>
      </c>
      <c r="E20" s="4" t="s">
        <v>26</v>
      </c>
      <c r="F20" s="4" t="s">
        <v>34</v>
      </c>
      <c r="G20" s="4" t="s">
        <v>72</v>
      </c>
      <c r="H20" s="4">
        <v>8</v>
      </c>
      <c r="I20" s="6">
        <f>356*0.035</f>
        <v>12.46</v>
      </c>
      <c r="J20" s="6"/>
      <c r="K20" s="6"/>
      <c r="L20" s="4">
        <v>28</v>
      </c>
      <c r="M20" s="6">
        <f>SUM(270*0.1)</f>
        <v>27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6">
        <f>SUM(I20+M20)</f>
        <v>39.46</v>
      </c>
      <c r="Z20" s="4"/>
      <c r="AA20" s="4"/>
      <c r="AD20" s="4">
        <v>7</v>
      </c>
      <c r="AE20" s="6">
        <f>120*0.1</f>
        <v>12</v>
      </c>
      <c r="AF20" s="4">
        <v>6</v>
      </c>
      <c r="AG20" s="6">
        <f>130*0.1</f>
        <v>13</v>
      </c>
      <c r="AH20" s="4">
        <v>4</v>
      </c>
      <c r="AI20" s="6">
        <f>150*0.36</f>
        <v>54</v>
      </c>
      <c r="AJ20" s="4">
        <v>3</v>
      </c>
      <c r="AK20" s="6">
        <f>160*0.28</f>
        <v>44.800000000000004</v>
      </c>
      <c r="AL20" s="6">
        <f>180*0.015</f>
        <v>2.6999999999999997</v>
      </c>
      <c r="AM20" s="6">
        <f>180*0.015</f>
        <v>2.6999999999999997</v>
      </c>
      <c r="AN20" s="6">
        <f>180*0.04</f>
        <v>7.2</v>
      </c>
      <c r="AQ20" s="6">
        <f>AE20+AG20+AI20+AK20+AL20+AM20+AN20</f>
        <v>136.4</v>
      </c>
      <c r="AR20" s="5">
        <f t="shared" si="4"/>
        <v>175.86</v>
      </c>
      <c r="AS20" s="5">
        <f>180*0.2</f>
        <v>36</v>
      </c>
      <c r="AT20" s="5">
        <f>AR20+AS20</f>
        <v>211.86</v>
      </c>
      <c r="AU20" s="29">
        <v>16</v>
      </c>
    </row>
    <row r="21" spans="1:47" ht="15.75">
      <c r="A21" s="4">
        <v>17</v>
      </c>
      <c r="B21" s="4" t="s">
        <v>84</v>
      </c>
      <c r="C21" s="4" t="s">
        <v>24</v>
      </c>
      <c r="D21" s="4" t="s">
        <v>25</v>
      </c>
      <c r="E21" s="4" t="s">
        <v>28</v>
      </c>
      <c r="F21" s="4" t="s">
        <v>27</v>
      </c>
      <c r="G21" s="4" t="s">
        <v>73</v>
      </c>
      <c r="H21" s="4">
        <v>2</v>
      </c>
      <c r="I21" s="6">
        <f>416*0.035</f>
        <v>14.560000000000002</v>
      </c>
      <c r="J21" s="6"/>
      <c r="K21" s="6"/>
      <c r="L21" s="4">
        <v>24</v>
      </c>
      <c r="M21" s="6">
        <f>SUM(278*0.1)</f>
        <v>27.8</v>
      </c>
      <c r="N21" s="4">
        <v>9</v>
      </c>
      <c r="O21" s="6">
        <f>SUM(346*0.7*0.1)</f>
        <v>24.22</v>
      </c>
      <c r="P21" s="4"/>
      <c r="Q21" s="4"/>
      <c r="R21" s="4">
        <v>1</v>
      </c>
      <c r="S21" s="6">
        <f>SUM(426*0.7*0.1)</f>
        <v>29.82</v>
      </c>
      <c r="T21" s="4">
        <v>0</v>
      </c>
      <c r="U21" s="4">
        <v>0</v>
      </c>
      <c r="V21" s="4"/>
      <c r="W21" s="6">
        <f>SUM(426*0.1*0.1)</f>
        <v>4.260000000000001</v>
      </c>
      <c r="X21" s="6"/>
      <c r="Y21" s="6">
        <f>SUM(I21+M21+O21+S21+W21)</f>
        <v>100.66000000000001</v>
      </c>
      <c r="Z21" s="4"/>
      <c r="AA21" s="4"/>
      <c r="AB21" s="4">
        <v>6</v>
      </c>
      <c r="AC21" s="6">
        <f>130*0.168</f>
        <v>21.84</v>
      </c>
      <c r="AD21" s="4">
        <v>12</v>
      </c>
      <c r="AE21" s="6">
        <f>80*0.1</f>
        <v>8</v>
      </c>
      <c r="AF21" s="4">
        <v>13</v>
      </c>
      <c r="AG21" s="6">
        <f>75*0.1</f>
        <v>7.5</v>
      </c>
      <c r="AJ21" s="4">
        <v>9</v>
      </c>
      <c r="AK21" s="6">
        <f>100*0.2</f>
        <v>20</v>
      </c>
      <c r="AL21" s="6">
        <f>180*0.2*0.3</f>
        <v>10.799999999999999</v>
      </c>
      <c r="AO21" s="6">
        <f>180*0.1*0.1</f>
        <v>1.8</v>
      </c>
      <c r="AQ21" s="6">
        <f>AC21+AE21+AG21+AK21+AL21+AO21</f>
        <v>69.94</v>
      </c>
      <c r="AR21" s="5">
        <f t="shared" si="4"/>
        <v>170.60000000000002</v>
      </c>
      <c r="AS21" s="5"/>
      <c r="AT21" s="5">
        <f>AR21</f>
        <v>170.60000000000002</v>
      </c>
      <c r="AU21" s="29">
        <v>17</v>
      </c>
    </row>
    <row r="22" spans="1:47" ht="15.75">
      <c r="A22" s="4">
        <v>18</v>
      </c>
      <c r="B22" s="4" t="s">
        <v>56</v>
      </c>
      <c r="C22" s="4" t="s">
        <v>54</v>
      </c>
      <c r="D22" s="4" t="s">
        <v>25</v>
      </c>
      <c r="E22" s="4" t="s">
        <v>26</v>
      </c>
      <c r="F22" s="4" t="s">
        <v>27</v>
      </c>
      <c r="G22" s="4" t="s">
        <v>55</v>
      </c>
      <c r="H22" s="4">
        <v>1</v>
      </c>
      <c r="I22" s="6">
        <f>426*0.035</f>
        <v>14.910000000000002</v>
      </c>
      <c r="J22" s="6"/>
      <c r="K22" s="6"/>
      <c r="L22" s="4"/>
      <c r="M22" s="4"/>
      <c r="N22" s="4">
        <v>5</v>
      </c>
      <c r="O22" s="6">
        <f>SUM(386*0.7*0.1)</f>
        <v>27.02</v>
      </c>
      <c r="P22" s="4"/>
      <c r="Q22" s="4"/>
      <c r="R22" s="4"/>
      <c r="S22" s="4"/>
      <c r="T22" s="4"/>
      <c r="U22" s="4"/>
      <c r="V22" s="4"/>
      <c r="W22" s="4"/>
      <c r="X22" s="4"/>
      <c r="Y22" s="6">
        <f>SUM(I22+O22)</f>
        <v>41.93</v>
      </c>
      <c r="Z22" s="4"/>
      <c r="AA22" s="4"/>
      <c r="AB22" s="4">
        <v>3</v>
      </c>
      <c r="AC22" s="6">
        <f>160*0.168</f>
        <v>26.880000000000003</v>
      </c>
      <c r="AJ22" s="4">
        <v>2</v>
      </c>
      <c r="AK22" s="6">
        <f>170*0.28</f>
        <v>47.6</v>
      </c>
      <c r="AL22" s="6">
        <f>180*0.075</f>
        <v>13.5</v>
      </c>
      <c r="AQ22" s="6">
        <f>AC22+AK22+AL22</f>
        <v>87.98</v>
      </c>
      <c r="AR22" s="5">
        <f t="shared" si="4"/>
        <v>129.91</v>
      </c>
      <c r="AS22" s="5">
        <f>180*0.2</f>
        <v>36</v>
      </c>
      <c r="AT22" s="5">
        <f>AR22+AS22</f>
        <v>165.91</v>
      </c>
      <c r="AU22" s="29">
        <v>18</v>
      </c>
    </row>
    <row r="23" spans="1:47" ht="15.75">
      <c r="A23" s="4">
        <v>19</v>
      </c>
      <c r="B23" s="4" t="s">
        <v>58</v>
      </c>
      <c r="C23" s="4" t="s">
        <v>54</v>
      </c>
      <c r="D23" s="4" t="s">
        <v>25</v>
      </c>
      <c r="E23" s="4" t="s">
        <v>26</v>
      </c>
      <c r="F23" s="4" t="s">
        <v>27</v>
      </c>
      <c r="G23" s="4" t="s">
        <v>55</v>
      </c>
      <c r="H23" s="4"/>
      <c r="I23" s="4"/>
      <c r="J23" s="4"/>
      <c r="K23" s="4"/>
      <c r="L23" s="4"/>
      <c r="M23" s="4"/>
      <c r="N23" s="4">
        <v>3</v>
      </c>
      <c r="O23" s="6">
        <f>SUM(406*0.7*0.1)</f>
        <v>28.42</v>
      </c>
      <c r="P23" s="4"/>
      <c r="Q23" s="4"/>
      <c r="R23" s="4">
        <v>2</v>
      </c>
      <c r="S23" s="6">
        <f>SUM(416*1.2*0.7*0.1)</f>
        <v>34.944</v>
      </c>
      <c r="T23" s="6"/>
      <c r="U23" s="6"/>
      <c r="V23" s="6"/>
      <c r="W23" s="6"/>
      <c r="X23" s="6"/>
      <c r="Y23" s="6">
        <f>SUM(O23+S23)</f>
        <v>63.364000000000004</v>
      </c>
      <c r="Z23" s="4"/>
      <c r="AA23" s="4"/>
      <c r="AC23" s="6"/>
      <c r="AJ23" s="4">
        <v>2</v>
      </c>
      <c r="AK23" s="6">
        <f>170*0.28</f>
        <v>47.6</v>
      </c>
      <c r="AL23" s="6">
        <f>180*0.075</f>
        <v>13.5</v>
      </c>
      <c r="AQ23" s="6">
        <f>AK23+AL23</f>
        <v>61.1</v>
      </c>
      <c r="AR23" s="5">
        <f t="shared" si="4"/>
        <v>124.464</v>
      </c>
      <c r="AS23" s="5">
        <f>180*0.2</f>
        <v>36</v>
      </c>
      <c r="AT23" s="5">
        <f>AR23+AS23</f>
        <v>160.464</v>
      </c>
      <c r="AU23" s="29">
        <v>19</v>
      </c>
    </row>
    <row r="24" spans="1:47" ht="15.75">
      <c r="A24" s="4">
        <v>20</v>
      </c>
      <c r="B24" s="4" t="s">
        <v>85</v>
      </c>
      <c r="C24" s="4" t="s">
        <v>65</v>
      </c>
      <c r="D24" s="4" t="s">
        <v>25</v>
      </c>
      <c r="E24" s="4" t="s">
        <v>26</v>
      </c>
      <c r="F24" s="4" t="s">
        <v>27</v>
      </c>
      <c r="G24" s="4" t="s">
        <v>66</v>
      </c>
      <c r="H24" s="4">
        <v>3</v>
      </c>
      <c r="I24" s="6">
        <f>406*0.035</f>
        <v>14.21</v>
      </c>
      <c r="J24" s="6"/>
      <c r="K24" s="6"/>
      <c r="L24" s="4"/>
      <c r="M24" s="4"/>
      <c r="N24" s="4">
        <v>3</v>
      </c>
      <c r="O24" s="6">
        <f>SUM(406*0.7*0.1)</f>
        <v>28.42</v>
      </c>
      <c r="P24" s="4"/>
      <c r="Q24" s="4"/>
      <c r="R24" s="4"/>
      <c r="S24" s="4"/>
      <c r="T24" s="18">
        <f>SUM(426*0.2*0.2)</f>
        <v>17.040000000000003</v>
      </c>
      <c r="U24" s="4"/>
      <c r="V24" s="4"/>
      <c r="W24" s="4"/>
      <c r="X24" s="4"/>
      <c r="Y24" s="6">
        <f>SUM(I24+O24+T24)</f>
        <v>59.67</v>
      </c>
      <c r="Z24" s="4"/>
      <c r="AA24" s="4"/>
      <c r="AB24" s="4">
        <v>2</v>
      </c>
      <c r="AC24" s="6">
        <f>170*0.196</f>
        <v>33.32</v>
      </c>
      <c r="AD24" s="4">
        <v>6</v>
      </c>
      <c r="AE24" s="6">
        <f>130*0.1</f>
        <v>13</v>
      </c>
      <c r="AF24" s="4">
        <v>4</v>
      </c>
      <c r="AG24" s="6">
        <f>150*0.1</f>
        <v>15</v>
      </c>
      <c r="AJ24" s="4">
        <v>6</v>
      </c>
      <c r="AK24" s="6">
        <f>130*0.28</f>
        <v>36.400000000000006</v>
      </c>
      <c r="AQ24" s="6">
        <f>AC24+AE24+AG24+AK24</f>
        <v>97.72</v>
      </c>
      <c r="AR24" s="5">
        <f t="shared" si="4"/>
        <v>157.39</v>
      </c>
      <c r="AS24" s="5"/>
      <c r="AT24" s="5">
        <f aca="true" t="shared" si="6" ref="AT24:AT32">AR24</f>
        <v>157.39</v>
      </c>
      <c r="AU24" s="29">
        <v>20</v>
      </c>
    </row>
    <row r="25" spans="1:47" ht="15.75">
      <c r="A25" s="4">
        <v>21</v>
      </c>
      <c r="B25" s="4" t="s">
        <v>86</v>
      </c>
      <c r="C25" s="4" t="s">
        <v>24</v>
      </c>
      <c r="D25" s="4" t="s">
        <v>25</v>
      </c>
      <c r="E25" s="4" t="s">
        <v>26</v>
      </c>
      <c r="F25" s="4" t="s">
        <v>27</v>
      </c>
      <c r="G25" s="4" t="s">
        <v>73</v>
      </c>
      <c r="H25" s="4"/>
      <c r="I25" s="4"/>
      <c r="J25" s="4"/>
      <c r="K25" s="4"/>
      <c r="L25" s="4">
        <v>29</v>
      </c>
      <c r="M25" s="6">
        <f>SUM(268*0.1)</f>
        <v>26.8</v>
      </c>
      <c r="N25" s="4"/>
      <c r="O25" s="4"/>
      <c r="P25" s="4"/>
      <c r="Q25" s="4"/>
      <c r="R25" s="4"/>
      <c r="S25" s="4"/>
      <c r="T25" s="6">
        <f>SUM(426*0.2*0.2)</f>
        <v>17.040000000000003</v>
      </c>
      <c r="U25" s="6">
        <f>SUM(426*0.15*0.1)</f>
        <v>6.390000000000001</v>
      </c>
      <c r="V25" s="6"/>
      <c r="W25" s="6">
        <f>SUM(426*0.1*0.1)</f>
        <v>4.260000000000001</v>
      </c>
      <c r="X25" s="4"/>
      <c r="Y25" s="6">
        <f>SUM(M25+T25+U25+W25)</f>
        <v>54.49</v>
      </c>
      <c r="Z25" s="4"/>
      <c r="AA25" s="4"/>
      <c r="AB25" s="4">
        <v>5</v>
      </c>
      <c r="AC25" s="6">
        <f>140*0.168</f>
        <v>23.520000000000003</v>
      </c>
      <c r="AD25" s="4">
        <v>12</v>
      </c>
      <c r="AE25" s="6">
        <f>80*0.1</f>
        <v>8</v>
      </c>
      <c r="AF25" s="4">
        <v>13</v>
      </c>
      <c r="AG25" s="6">
        <f>75*0.1</f>
        <v>7.5</v>
      </c>
      <c r="AJ25" s="4">
        <v>4</v>
      </c>
      <c r="AK25" s="6">
        <f>150*0.28</f>
        <v>42.00000000000001</v>
      </c>
      <c r="AL25" s="6">
        <f>180*0.2*0.3</f>
        <v>10.799999999999999</v>
      </c>
      <c r="AM25" s="6">
        <f>180*0.2*0.3</f>
        <v>10.799999999999999</v>
      </c>
      <c r="AN25" s="6"/>
      <c r="AQ25" s="6">
        <f>AC25+AE25+AG25+AK25+AL25+AM25</f>
        <v>102.62</v>
      </c>
      <c r="AR25" s="5">
        <f t="shared" si="4"/>
        <v>157.11</v>
      </c>
      <c r="AS25" s="5"/>
      <c r="AT25" s="5">
        <f t="shared" si="6"/>
        <v>157.11</v>
      </c>
      <c r="AU25" s="29">
        <v>21</v>
      </c>
    </row>
    <row r="26" spans="1:47" ht="15.75">
      <c r="A26" s="4">
        <v>22</v>
      </c>
      <c r="B26" s="4" t="s">
        <v>45</v>
      </c>
      <c r="C26" s="4" t="s">
        <v>43</v>
      </c>
      <c r="D26" s="4" t="s">
        <v>25</v>
      </c>
      <c r="E26" s="4" t="s">
        <v>28</v>
      </c>
      <c r="F26" s="4" t="s">
        <v>27</v>
      </c>
      <c r="G26" s="4" t="s">
        <v>71</v>
      </c>
      <c r="H26" s="4"/>
      <c r="I26" s="4"/>
      <c r="J26" s="4"/>
      <c r="K26" s="4"/>
      <c r="L26" s="4">
        <v>36</v>
      </c>
      <c r="M26" s="6">
        <f>SUM(260*0.1)</f>
        <v>26</v>
      </c>
      <c r="N26" s="4">
        <v>7</v>
      </c>
      <c r="O26" s="6">
        <f>SUM(366*0.7*0.1)</f>
        <v>25.62</v>
      </c>
      <c r="P26" s="4"/>
      <c r="Q26" s="4"/>
      <c r="R26" s="4">
        <v>4</v>
      </c>
      <c r="S26" s="6">
        <f>SUM(396*0.7*0.1)</f>
        <v>27.72</v>
      </c>
      <c r="T26" s="6">
        <f>SUM(426*0.25*0.3)</f>
        <v>31.95</v>
      </c>
      <c r="U26" s="6">
        <f>SUM(426*0.15*0.1)</f>
        <v>6.390000000000001</v>
      </c>
      <c r="V26" s="6"/>
      <c r="W26" s="6"/>
      <c r="X26" s="6"/>
      <c r="Y26" s="6">
        <f>SUM(M26+O26+S26+T26+U26)</f>
        <v>117.68</v>
      </c>
      <c r="Z26" s="4">
        <v>1</v>
      </c>
      <c r="AA26" s="6">
        <f>426*0.5*0.4*0.1</f>
        <v>8.520000000000001</v>
      </c>
      <c r="AB26" s="4">
        <v>4</v>
      </c>
      <c r="AC26" s="6">
        <f>150*0.168</f>
        <v>25.200000000000003</v>
      </c>
      <c r="AQ26" s="6">
        <f>AA26+AC26</f>
        <v>33.720000000000006</v>
      </c>
      <c r="AR26" s="5">
        <f t="shared" si="4"/>
        <v>151.4</v>
      </c>
      <c r="AS26" s="5"/>
      <c r="AT26" s="5">
        <f t="shared" si="6"/>
        <v>151.4</v>
      </c>
      <c r="AU26" s="29">
        <v>22</v>
      </c>
    </row>
    <row r="27" spans="1:47" ht="15.75">
      <c r="A27" s="4">
        <v>23</v>
      </c>
      <c r="B27" s="4" t="s">
        <v>41</v>
      </c>
      <c r="C27" s="4" t="s">
        <v>32</v>
      </c>
      <c r="D27" s="4" t="s">
        <v>25</v>
      </c>
      <c r="E27" s="4" t="s">
        <v>26</v>
      </c>
      <c r="F27" s="4" t="s">
        <v>27</v>
      </c>
      <c r="G27" s="4" t="s">
        <v>72</v>
      </c>
      <c r="H27" s="4"/>
      <c r="I27" s="4"/>
      <c r="J27" s="4"/>
      <c r="K27" s="4"/>
      <c r="L27" s="4"/>
      <c r="M27" s="4"/>
      <c r="N27" s="4">
        <v>7</v>
      </c>
      <c r="O27" s="6">
        <f>SUM(366*0.7*0.1)</f>
        <v>25.62</v>
      </c>
      <c r="P27" s="4"/>
      <c r="Q27" s="4"/>
      <c r="R27" s="4">
        <v>4</v>
      </c>
      <c r="S27" s="6">
        <f>SUM(396*0.7*0.1)</f>
        <v>27.72</v>
      </c>
      <c r="T27" s="6">
        <f>426*0.15*0.1</f>
        <v>6.390000000000001</v>
      </c>
      <c r="U27" s="6">
        <f>426*0.15*0.1</f>
        <v>6.390000000000001</v>
      </c>
      <c r="V27" s="6">
        <f>426*0.15*0.1</f>
        <v>6.390000000000001</v>
      </c>
      <c r="W27" s="6"/>
      <c r="X27" s="6"/>
      <c r="Y27" s="6">
        <f>SUM(O27+S27+T27+U27+V27)</f>
        <v>72.51</v>
      </c>
      <c r="Z27" s="4"/>
      <c r="AA27" s="4"/>
      <c r="AB27" s="4">
        <v>7</v>
      </c>
      <c r="AC27" s="6">
        <f>120*0.168</f>
        <v>20.16</v>
      </c>
      <c r="AJ27" s="4">
        <v>3</v>
      </c>
      <c r="AK27" s="6">
        <f>160*0.28</f>
        <v>44.800000000000004</v>
      </c>
      <c r="AL27" s="6">
        <f>180*0.015</f>
        <v>2.6999999999999997</v>
      </c>
      <c r="AM27" s="6">
        <f>180*0.015</f>
        <v>2.6999999999999997</v>
      </c>
      <c r="AN27" s="6">
        <f>180*0.04</f>
        <v>7.2</v>
      </c>
      <c r="AQ27" s="6">
        <f>AC27+AK27+AL27+AM27+AN27</f>
        <v>77.56000000000002</v>
      </c>
      <c r="AR27" s="5">
        <f t="shared" si="4"/>
        <v>150.07000000000002</v>
      </c>
      <c r="AS27" s="5"/>
      <c r="AT27" s="5">
        <f t="shared" si="6"/>
        <v>150.07000000000002</v>
      </c>
      <c r="AU27" s="29">
        <v>23</v>
      </c>
    </row>
    <row r="28" spans="1:47" ht="15.75">
      <c r="A28" s="4">
        <v>24</v>
      </c>
      <c r="B28" s="4" t="s">
        <v>87</v>
      </c>
      <c r="C28" s="4" t="s">
        <v>63</v>
      </c>
      <c r="D28" s="4" t="s">
        <v>25</v>
      </c>
      <c r="E28" s="4" t="s">
        <v>62</v>
      </c>
      <c r="F28" s="4" t="s">
        <v>27</v>
      </c>
      <c r="G28" s="4" t="s">
        <v>64</v>
      </c>
      <c r="H28" s="4">
        <v>1</v>
      </c>
      <c r="I28" s="6">
        <f>426*0.035</f>
        <v>14.910000000000002</v>
      </c>
      <c r="J28" s="6"/>
      <c r="K28" s="6"/>
      <c r="L28" s="4"/>
      <c r="M28" s="4"/>
      <c r="N28" s="4">
        <v>1</v>
      </c>
      <c r="O28" s="6">
        <f>SUM(426*0.7*0.1)</f>
        <v>29.82</v>
      </c>
      <c r="P28" s="4"/>
      <c r="Q28" s="4"/>
      <c r="R28" s="4">
        <v>3</v>
      </c>
      <c r="S28" s="6">
        <f>SUM(406*1.2*0.7*0.1)</f>
        <v>34.104</v>
      </c>
      <c r="T28" s="6"/>
      <c r="U28" s="6"/>
      <c r="V28" s="6"/>
      <c r="W28" s="6"/>
      <c r="X28" s="6"/>
      <c r="Y28" s="6">
        <f>SUM(I28+O28+S28)</f>
        <v>78.834</v>
      </c>
      <c r="Z28" s="4"/>
      <c r="AA28" s="4"/>
      <c r="AB28" s="4">
        <v>3</v>
      </c>
      <c r="AC28" s="6">
        <f>160*0.196</f>
        <v>31.36</v>
      </c>
      <c r="AJ28" s="4">
        <v>5</v>
      </c>
      <c r="AK28" s="6">
        <f>140*0.28</f>
        <v>39.2</v>
      </c>
      <c r="AQ28" s="6">
        <f>AC28+AK28</f>
        <v>70.56</v>
      </c>
      <c r="AR28" s="5">
        <f t="shared" si="4"/>
        <v>149.394</v>
      </c>
      <c r="AS28" s="5"/>
      <c r="AT28" s="5">
        <f t="shared" si="6"/>
        <v>149.394</v>
      </c>
      <c r="AU28" s="29">
        <v>24</v>
      </c>
    </row>
    <row r="29" spans="1:47" ht="15.75">
      <c r="A29" s="4">
        <v>25</v>
      </c>
      <c r="B29" s="4" t="s">
        <v>88</v>
      </c>
      <c r="C29" s="4" t="s">
        <v>24</v>
      </c>
      <c r="D29" s="4" t="s">
        <v>25</v>
      </c>
      <c r="E29" s="4" t="s">
        <v>28</v>
      </c>
      <c r="F29" s="4" t="s">
        <v>27</v>
      </c>
      <c r="G29" s="4" t="s">
        <v>73</v>
      </c>
      <c r="H29" s="4"/>
      <c r="I29" s="4"/>
      <c r="J29" s="4"/>
      <c r="K29" s="4"/>
      <c r="L29" s="4"/>
      <c r="M29" s="4"/>
      <c r="N29" s="4">
        <v>4</v>
      </c>
      <c r="O29" s="6">
        <f>SUM(396*0.7*0.1)</f>
        <v>27.72</v>
      </c>
      <c r="P29" s="4"/>
      <c r="Q29" s="4"/>
      <c r="R29" s="4">
        <v>4</v>
      </c>
      <c r="S29" s="6">
        <f>SUM(396*1.2*0.7*0.1)</f>
        <v>33.264</v>
      </c>
      <c r="T29" s="6">
        <f>SUM(426*0.2*0.2)</f>
        <v>17.040000000000003</v>
      </c>
      <c r="U29" s="6">
        <f>SUM(426*0.15*0.1)</f>
        <v>6.390000000000001</v>
      </c>
      <c r="V29" s="6"/>
      <c r="W29" s="6">
        <f>SUM(426*0.1*0.1)</f>
        <v>4.260000000000001</v>
      </c>
      <c r="X29" s="6"/>
      <c r="Y29" s="6">
        <f>SUM(O29+S29+T29+U29+W29)</f>
        <v>88.674</v>
      </c>
      <c r="Z29" s="4"/>
      <c r="AA29" s="4"/>
      <c r="AD29" s="4">
        <v>12</v>
      </c>
      <c r="AE29" s="6">
        <f>80*0.1</f>
        <v>8</v>
      </c>
      <c r="AF29" s="4">
        <v>13</v>
      </c>
      <c r="AG29" s="6">
        <f>75*0.1</f>
        <v>7.5</v>
      </c>
      <c r="AJ29" s="4">
        <v>4</v>
      </c>
      <c r="AK29" s="6">
        <f>150*0.28</f>
        <v>42.00000000000001</v>
      </c>
      <c r="AQ29" s="6">
        <f>AE29+AG29+AK29</f>
        <v>57.50000000000001</v>
      </c>
      <c r="AR29" s="5">
        <f t="shared" si="4"/>
        <v>146.174</v>
      </c>
      <c r="AS29" s="5"/>
      <c r="AT29" s="5">
        <f t="shared" si="6"/>
        <v>146.174</v>
      </c>
      <c r="AU29" s="29">
        <v>25</v>
      </c>
    </row>
    <row r="30" spans="1:47" ht="15.75">
      <c r="A30" s="4">
        <v>26</v>
      </c>
      <c r="B30" s="4" t="s">
        <v>35</v>
      </c>
      <c r="C30" s="4" t="s">
        <v>32</v>
      </c>
      <c r="D30" s="4" t="s">
        <v>33</v>
      </c>
      <c r="E30" s="4" t="s">
        <v>26</v>
      </c>
      <c r="F30" s="4" t="s">
        <v>34</v>
      </c>
      <c r="G30" s="4" t="s">
        <v>72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>
        <v>4</v>
      </c>
      <c r="S30" s="6">
        <f>SUM(396*1.2*0.7*0.1)</f>
        <v>33.264</v>
      </c>
      <c r="T30" s="6"/>
      <c r="U30" s="6"/>
      <c r="V30" s="6"/>
      <c r="W30" s="6"/>
      <c r="X30" s="6"/>
      <c r="Y30" s="6">
        <f>SUM(S30)</f>
        <v>33.264</v>
      </c>
      <c r="Z30" s="4"/>
      <c r="AA30" s="4"/>
      <c r="AB30" s="4">
        <v>4</v>
      </c>
      <c r="AC30" s="6">
        <f>150*0.196</f>
        <v>29.400000000000002</v>
      </c>
      <c r="AD30" s="4">
        <v>7</v>
      </c>
      <c r="AE30" s="6">
        <f>120*0.1</f>
        <v>12</v>
      </c>
      <c r="AF30" s="4">
        <v>6</v>
      </c>
      <c r="AG30" s="6">
        <f>130*0.1</f>
        <v>13</v>
      </c>
      <c r="AJ30" s="4">
        <v>3</v>
      </c>
      <c r="AK30" s="6">
        <f>160*0.28</f>
        <v>44.800000000000004</v>
      </c>
      <c r="AL30" s="6">
        <f>180*0.015</f>
        <v>2.6999999999999997</v>
      </c>
      <c r="AM30" s="6">
        <f>180*0.015</f>
        <v>2.6999999999999997</v>
      </c>
      <c r="AN30" s="6">
        <f>180*0.04</f>
        <v>7.2</v>
      </c>
      <c r="AQ30" s="6">
        <f>AC30+AE30+AG30+AK30+AL30+AM30+AN30</f>
        <v>111.80000000000003</v>
      </c>
      <c r="AR30" s="5">
        <f t="shared" si="4"/>
        <v>145.06400000000002</v>
      </c>
      <c r="AS30" s="5"/>
      <c r="AT30" s="5">
        <f t="shared" si="6"/>
        <v>145.06400000000002</v>
      </c>
      <c r="AU30" s="29">
        <v>26</v>
      </c>
    </row>
    <row r="31" spans="1:47" ht="15.75">
      <c r="A31" s="4">
        <v>27</v>
      </c>
      <c r="B31" s="4" t="s">
        <v>59</v>
      </c>
      <c r="C31" s="4" t="s">
        <v>54</v>
      </c>
      <c r="D31" s="4" t="s">
        <v>25</v>
      </c>
      <c r="E31" s="4" t="s">
        <v>26</v>
      </c>
      <c r="F31" s="4" t="s">
        <v>27</v>
      </c>
      <c r="G31" s="4" t="s">
        <v>55</v>
      </c>
      <c r="H31" s="4"/>
      <c r="I31" s="4"/>
      <c r="J31" s="4"/>
      <c r="K31" s="4"/>
      <c r="L31" s="4"/>
      <c r="M31" s="4"/>
      <c r="N31" s="4">
        <v>6</v>
      </c>
      <c r="O31" s="6">
        <f>SUM(376*0.7*0.1)</f>
        <v>26.32</v>
      </c>
      <c r="P31" s="4"/>
      <c r="Q31" s="4"/>
      <c r="R31" s="4">
        <v>3</v>
      </c>
      <c r="S31" s="6">
        <f>SUM(406*0.7*0.1)</f>
        <v>28.42</v>
      </c>
      <c r="T31" s="6"/>
      <c r="U31" s="6"/>
      <c r="V31" s="6"/>
      <c r="W31" s="6"/>
      <c r="X31" s="6"/>
      <c r="Y31" s="6">
        <f>SUM(O31+S31)</f>
        <v>54.74</v>
      </c>
      <c r="Z31" s="4"/>
      <c r="AA31" s="4"/>
      <c r="AB31" s="4">
        <v>3</v>
      </c>
      <c r="AC31" s="6">
        <f>160*0.168</f>
        <v>26.880000000000003</v>
      </c>
      <c r="AJ31" s="4">
        <v>2</v>
      </c>
      <c r="AK31" s="6">
        <f>170*0.28</f>
        <v>47.6</v>
      </c>
      <c r="AL31" s="6">
        <f>180*0.075</f>
        <v>13.5</v>
      </c>
      <c r="AQ31" s="6">
        <f>AC31+AK31+AL31</f>
        <v>87.98</v>
      </c>
      <c r="AR31" s="5">
        <f t="shared" si="4"/>
        <v>142.72</v>
      </c>
      <c r="AS31" s="5"/>
      <c r="AT31" s="5">
        <f t="shared" si="6"/>
        <v>142.72</v>
      </c>
      <c r="AU31" s="29">
        <v>27</v>
      </c>
    </row>
    <row r="32" spans="1:47" ht="15.75">
      <c r="A32" s="4">
        <v>28</v>
      </c>
      <c r="B32" s="4" t="s">
        <v>44</v>
      </c>
      <c r="C32" s="4" t="s">
        <v>43</v>
      </c>
      <c r="D32" s="4" t="s">
        <v>25</v>
      </c>
      <c r="E32" s="4" t="s">
        <v>28</v>
      </c>
      <c r="F32" s="4" t="s">
        <v>27</v>
      </c>
      <c r="G32" s="4" t="s">
        <v>71</v>
      </c>
      <c r="H32" s="4"/>
      <c r="I32" s="4"/>
      <c r="J32" s="4"/>
      <c r="K32" s="4"/>
      <c r="L32" s="4">
        <v>8</v>
      </c>
      <c r="M32" s="6">
        <f>SUM(356*0.1)</f>
        <v>35.6</v>
      </c>
      <c r="N32" s="4">
        <v>1</v>
      </c>
      <c r="O32" s="6">
        <f>SUM(426*0.7*0.1)</f>
        <v>29.82</v>
      </c>
      <c r="P32" s="4"/>
      <c r="Q32" s="4"/>
      <c r="R32" s="4">
        <v>5</v>
      </c>
      <c r="S32" s="6">
        <f>SUM(386*1.2*0.7*0.1)</f>
        <v>32.424</v>
      </c>
      <c r="T32" s="6">
        <f>SUM(426*0.25*0.3)</f>
        <v>31.95</v>
      </c>
      <c r="U32" s="6">
        <f>SUM(426*0.15*0.1)</f>
        <v>6.390000000000001</v>
      </c>
      <c r="V32" s="6"/>
      <c r="W32" s="6"/>
      <c r="X32" s="6"/>
      <c r="Y32" s="6">
        <f>SUM(M32+O32+S32+T32+U32)</f>
        <v>136.18399999999997</v>
      </c>
      <c r="Z32" s="4"/>
      <c r="AA32" s="4"/>
      <c r="AQ32" s="6">
        <v>0</v>
      </c>
      <c r="AR32" s="5">
        <f t="shared" si="4"/>
        <v>136.18399999999997</v>
      </c>
      <c r="AS32" s="5"/>
      <c r="AT32" s="5">
        <f t="shared" si="6"/>
        <v>136.18399999999997</v>
      </c>
      <c r="AU32" s="29">
        <v>28</v>
      </c>
    </row>
    <row r="33" spans="1:47" ht="15.75">
      <c r="A33" s="4">
        <v>29</v>
      </c>
      <c r="B33" s="4" t="s">
        <v>89</v>
      </c>
      <c r="C33" s="4" t="s">
        <v>24</v>
      </c>
      <c r="D33" s="4" t="s">
        <v>25</v>
      </c>
      <c r="E33" s="4" t="s">
        <v>28</v>
      </c>
      <c r="F33" s="4" t="s">
        <v>27</v>
      </c>
      <c r="G33" s="4" t="s">
        <v>73</v>
      </c>
      <c r="H33" s="4"/>
      <c r="I33" s="4"/>
      <c r="J33" s="4"/>
      <c r="K33" s="4"/>
      <c r="L33" s="4">
        <v>41</v>
      </c>
      <c r="M33" s="6">
        <f>SUM(255*0.1)</f>
        <v>25.5</v>
      </c>
      <c r="N33" s="4"/>
      <c r="O33" s="4"/>
      <c r="P33" s="4"/>
      <c r="Q33" s="4"/>
      <c r="R33" s="4"/>
      <c r="S33" s="4"/>
      <c r="T33" s="6">
        <f>SUM(426*0.2*0.2)</f>
        <v>17.040000000000003</v>
      </c>
      <c r="U33" s="6">
        <f>SUM(426*0.15*0.1)</f>
        <v>6.390000000000001</v>
      </c>
      <c r="V33" s="6"/>
      <c r="W33" s="6">
        <f>SUM(426*0.1*0.1)</f>
        <v>4.260000000000001</v>
      </c>
      <c r="X33" s="4"/>
      <c r="Y33" s="6">
        <f>SUM(M33+T33+U33+W33)</f>
        <v>53.190000000000005</v>
      </c>
      <c r="Z33" s="4">
        <v>1</v>
      </c>
      <c r="AA33" s="6">
        <f>426*0.5*0.4*0.1</f>
        <v>8.520000000000001</v>
      </c>
      <c r="AD33" s="4">
        <v>12</v>
      </c>
      <c r="AE33" s="6">
        <f>80*0.1</f>
        <v>8</v>
      </c>
      <c r="AF33" s="4">
        <v>13</v>
      </c>
      <c r="AG33" s="6">
        <f>75*0.1</f>
        <v>7.5</v>
      </c>
      <c r="AJ33" s="4">
        <v>4</v>
      </c>
      <c r="AK33" s="6">
        <f>150*0.28</f>
        <v>42.00000000000001</v>
      </c>
      <c r="AQ33" s="6">
        <f>AA33+AE33+AG33+AK33</f>
        <v>66.02000000000001</v>
      </c>
      <c r="AR33" s="5">
        <f t="shared" si="4"/>
        <v>119.21000000000001</v>
      </c>
      <c r="AS33" s="6">
        <f>180*0.075</f>
        <v>13.5</v>
      </c>
      <c r="AT33" s="5">
        <f>AR33+AS33</f>
        <v>132.71</v>
      </c>
      <c r="AU33" s="29">
        <v>29</v>
      </c>
    </row>
    <row r="34" spans="1:47" ht="15.75">
      <c r="A34" s="4">
        <v>30</v>
      </c>
      <c r="B34" s="4" t="s">
        <v>90</v>
      </c>
      <c r="C34" s="4" t="s">
        <v>24</v>
      </c>
      <c r="D34" s="4" t="s">
        <v>25</v>
      </c>
      <c r="E34" s="4" t="s">
        <v>28</v>
      </c>
      <c r="F34" s="4" t="s">
        <v>27</v>
      </c>
      <c r="G34" s="4" t="s">
        <v>73</v>
      </c>
      <c r="H34" s="4">
        <v>11</v>
      </c>
      <c r="I34" s="6">
        <f>331*0.035</f>
        <v>11.585</v>
      </c>
      <c r="J34" s="6"/>
      <c r="K34" s="6"/>
      <c r="L34" s="4">
        <v>44</v>
      </c>
      <c r="M34" s="6">
        <f>SUM(252*0.1)</f>
        <v>25.200000000000003</v>
      </c>
      <c r="N34" s="4">
        <v>8</v>
      </c>
      <c r="O34" s="6">
        <f>SUM(356*0.7*0.1)</f>
        <v>24.92</v>
      </c>
      <c r="P34" s="4"/>
      <c r="Q34" s="4"/>
      <c r="R34" s="4">
        <v>7</v>
      </c>
      <c r="S34" s="6">
        <f>SUM(366*0.7*0.1)</f>
        <v>25.62</v>
      </c>
      <c r="T34" s="4">
        <v>0</v>
      </c>
      <c r="U34" s="4">
        <v>0</v>
      </c>
      <c r="V34" s="4"/>
      <c r="W34" s="6">
        <v>0</v>
      </c>
      <c r="X34" s="6"/>
      <c r="Y34" s="6">
        <f>SUM(I34+M34+O34+S34)</f>
        <v>87.325</v>
      </c>
      <c r="Z34" s="4">
        <v>1</v>
      </c>
      <c r="AA34" s="6">
        <f>426*0.5*0.4*0.1</f>
        <v>8.520000000000001</v>
      </c>
      <c r="AB34" s="4">
        <v>5</v>
      </c>
      <c r="AC34" s="6">
        <f>140*0.168</f>
        <v>23.520000000000003</v>
      </c>
      <c r="AL34" s="6">
        <f>180*0.2*0.3</f>
        <v>10.799999999999999</v>
      </c>
      <c r="AQ34" s="6">
        <f>AA34+AC34+AL34</f>
        <v>42.84</v>
      </c>
      <c r="AR34" s="5">
        <f t="shared" si="4"/>
        <v>130.16500000000002</v>
      </c>
      <c r="AS34" s="5"/>
      <c r="AT34" s="5">
        <f>AR34</f>
        <v>130.16500000000002</v>
      </c>
      <c r="AU34" s="29">
        <v>30</v>
      </c>
    </row>
    <row r="35" spans="1:47" ht="15.75">
      <c r="A35" s="4">
        <v>31</v>
      </c>
      <c r="B35" s="4" t="s">
        <v>91</v>
      </c>
      <c r="C35" s="4" t="s">
        <v>63</v>
      </c>
      <c r="D35" s="4" t="s">
        <v>25</v>
      </c>
      <c r="E35" s="4" t="s">
        <v>62</v>
      </c>
      <c r="F35" s="4" t="s">
        <v>27</v>
      </c>
      <c r="G35" s="4" t="s">
        <v>64</v>
      </c>
      <c r="H35" s="4"/>
      <c r="I35" s="4"/>
      <c r="J35" s="4"/>
      <c r="K35" s="4"/>
      <c r="L35" s="4"/>
      <c r="M35" s="4"/>
      <c r="N35" s="4">
        <v>5</v>
      </c>
      <c r="O35" s="6">
        <f>SUM(386*0.7*0.1)</f>
        <v>27.02</v>
      </c>
      <c r="P35" s="4"/>
      <c r="Q35" s="4"/>
      <c r="R35" s="4">
        <v>7</v>
      </c>
      <c r="S35" s="6">
        <f>SUM(366*1.2*0.7*0.1)</f>
        <v>30.744</v>
      </c>
      <c r="T35" s="6"/>
      <c r="U35" s="6"/>
      <c r="V35" s="6"/>
      <c r="W35" s="6"/>
      <c r="X35" s="6"/>
      <c r="Y35" s="6">
        <f>SUM(O35+S35)</f>
        <v>57.763999999999996</v>
      </c>
      <c r="Z35" s="4"/>
      <c r="AA35" s="4"/>
      <c r="AB35" s="4">
        <v>3</v>
      </c>
      <c r="AC35" s="6">
        <f>160*0.196</f>
        <v>31.36</v>
      </c>
      <c r="AJ35" s="4">
        <v>5</v>
      </c>
      <c r="AK35" s="6">
        <f>140*0.28</f>
        <v>39.2</v>
      </c>
      <c r="AQ35" s="6">
        <f>AC35+AK35</f>
        <v>70.56</v>
      </c>
      <c r="AR35" s="5">
        <f t="shared" si="4"/>
        <v>128.324</v>
      </c>
      <c r="AS35" s="5"/>
      <c r="AT35" s="5">
        <f>AR35</f>
        <v>128.324</v>
      </c>
      <c r="AU35" s="29">
        <v>31</v>
      </c>
    </row>
    <row r="36" spans="1:47" ht="15.75">
      <c r="A36" s="4">
        <v>32</v>
      </c>
      <c r="B36" s="4" t="s">
        <v>92</v>
      </c>
      <c r="C36" s="4" t="s">
        <v>67</v>
      </c>
      <c r="D36" s="4" t="s">
        <v>25</v>
      </c>
      <c r="E36" s="4" t="s">
        <v>62</v>
      </c>
      <c r="F36" s="4" t="s">
        <v>27</v>
      </c>
      <c r="G36" s="4" t="s">
        <v>68</v>
      </c>
      <c r="H36" s="4"/>
      <c r="I36" s="4"/>
      <c r="J36" s="4"/>
      <c r="K36" s="4"/>
      <c r="L36" s="4">
        <v>11</v>
      </c>
      <c r="M36" s="6">
        <f>SUM(331*0.1)</f>
        <v>33.1</v>
      </c>
      <c r="N36" s="4"/>
      <c r="O36" s="4"/>
      <c r="P36" s="4"/>
      <c r="Q36" s="4"/>
      <c r="R36" s="4"/>
      <c r="S36" s="4"/>
      <c r="T36" s="6">
        <f>SUM(426*0.25*0.3)</f>
        <v>31.95</v>
      </c>
      <c r="U36" s="6">
        <f>SUM(426*0.15*0.1)</f>
        <v>6.390000000000001</v>
      </c>
      <c r="V36" s="6"/>
      <c r="W36" s="4"/>
      <c r="X36" s="4"/>
      <c r="Y36" s="6">
        <f>SUM(M36+T36+U36)</f>
        <v>71.44</v>
      </c>
      <c r="Z36" s="4"/>
      <c r="AA36" s="4"/>
      <c r="AD36" s="4">
        <v>5</v>
      </c>
      <c r="AE36" s="6">
        <f>140*0.1</f>
        <v>14</v>
      </c>
      <c r="AF36" s="4">
        <v>12</v>
      </c>
      <c r="AG36" s="6">
        <f>80*0.1</f>
        <v>8</v>
      </c>
      <c r="AJ36" s="4">
        <v>8</v>
      </c>
      <c r="AK36" s="6">
        <f>110*0.28</f>
        <v>30.800000000000004</v>
      </c>
      <c r="AL36" s="6">
        <f>180*0.015</f>
        <v>2.6999999999999997</v>
      </c>
      <c r="AQ36" s="6">
        <f>AE36+AG36+AK36+AL36</f>
        <v>55.50000000000001</v>
      </c>
      <c r="AR36" s="5">
        <f t="shared" si="4"/>
        <v>126.94</v>
      </c>
      <c r="AS36" s="5"/>
      <c r="AT36" s="5">
        <f>AR36</f>
        <v>126.94</v>
      </c>
      <c r="AU36" s="29" t="s">
        <v>69</v>
      </c>
    </row>
    <row r="37" spans="1:47" ht="15.75">
      <c r="A37" s="4">
        <v>33</v>
      </c>
      <c r="B37" s="4" t="s">
        <v>93</v>
      </c>
      <c r="C37" s="4" t="s">
        <v>67</v>
      </c>
      <c r="D37" s="4" t="s">
        <v>25</v>
      </c>
      <c r="E37" s="4" t="s">
        <v>62</v>
      </c>
      <c r="F37" s="4" t="s">
        <v>27</v>
      </c>
      <c r="G37" s="4" t="s">
        <v>68</v>
      </c>
      <c r="H37" s="4"/>
      <c r="I37" s="4"/>
      <c r="J37" s="4"/>
      <c r="K37" s="4"/>
      <c r="L37" s="4">
        <v>11</v>
      </c>
      <c r="M37" s="6">
        <f>SUM(331*0.1)</f>
        <v>33.1</v>
      </c>
      <c r="N37" s="4"/>
      <c r="O37" s="4"/>
      <c r="P37" s="4"/>
      <c r="Q37" s="4"/>
      <c r="R37" s="4"/>
      <c r="S37" s="4"/>
      <c r="T37" s="6">
        <f>SUM(426*0.25*0.3)</f>
        <v>31.95</v>
      </c>
      <c r="U37" s="6">
        <f>SUM(426*0.15*0.1)</f>
        <v>6.390000000000001</v>
      </c>
      <c r="V37" s="6"/>
      <c r="W37" s="4"/>
      <c r="X37" s="4"/>
      <c r="Y37" s="6">
        <f>SUM(M37+T37+U37)</f>
        <v>71.44</v>
      </c>
      <c r="Z37" s="4"/>
      <c r="AA37" s="4"/>
      <c r="AD37" s="4">
        <v>5</v>
      </c>
      <c r="AE37" s="6">
        <f>140*0.1</f>
        <v>14</v>
      </c>
      <c r="AF37" s="4">
        <v>12</v>
      </c>
      <c r="AG37" s="6">
        <f>80*0.1</f>
        <v>8</v>
      </c>
      <c r="AJ37" s="4">
        <v>8</v>
      </c>
      <c r="AK37" s="6">
        <f>110*0.28</f>
        <v>30.800000000000004</v>
      </c>
      <c r="AL37" s="6">
        <f>180*0.015</f>
        <v>2.6999999999999997</v>
      </c>
      <c r="AQ37" s="6">
        <f>AE37+AG37+AK37+AL37</f>
        <v>55.50000000000001</v>
      </c>
      <c r="AR37" s="5">
        <f aca="true" t="shared" si="7" ref="AR37:AR68">Y37+AQ37</f>
        <v>126.94</v>
      </c>
      <c r="AS37" s="5"/>
      <c r="AT37" s="5">
        <f>AR37</f>
        <v>126.94</v>
      </c>
      <c r="AU37" s="29" t="s">
        <v>69</v>
      </c>
    </row>
    <row r="38" spans="1:47" ht="15.75">
      <c r="A38" s="4">
        <v>34</v>
      </c>
      <c r="B38" s="4" t="s">
        <v>61</v>
      </c>
      <c r="C38" s="4" t="s">
        <v>54</v>
      </c>
      <c r="D38" s="4" t="s">
        <v>25</v>
      </c>
      <c r="E38" s="4" t="s">
        <v>26</v>
      </c>
      <c r="F38" s="4" t="s">
        <v>27</v>
      </c>
      <c r="G38" s="4" t="s">
        <v>55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6"/>
      <c r="T38" s="6"/>
      <c r="U38" s="6"/>
      <c r="V38" s="6"/>
      <c r="W38" s="6"/>
      <c r="X38" s="6"/>
      <c r="Y38" s="6">
        <v>0</v>
      </c>
      <c r="Z38" s="4"/>
      <c r="AA38" s="4"/>
      <c r="AB38" s="4">
        <v>4</v>
      </c>
      <c r="AC38" s="6">
        <f>150*0.196</f>
        <v>29.400000000000002</v>
      </c>
      <c r="AJ38" s="4">
        <v>2</v>
      </c>
      <c r="AK38" s="6">
        <f>170*0.28</f>
        <v>47.6</v>
      </c>
      <c r="AL38" s="6">
        <f>180*0.075</f>
        <v>13.5</v>
      </c>
      <c r="AQ38" s="6">
        <f>AC38+AK38+AL38</f>
        <v>90.5</v>
      </c>
      <c r="AR38" s="5">
        <f t="shared" si="7"/>
        <v>90.5</v>
      </c>
      <c r="AS38" s="5">
        <f>180*0.2</f>
        <v>36</v>
      </c>
      <c r="AT38" s="5">
        <f>AR38+AS38</f>
        <v>126.5</v>
      </c>
      <c r="AU38" s="29">
        <v>34</v>
      </c>
    </row>
    <row r="39" spans="1:47" ht="15.75">
      <c r="A39" s="4">
        <v>35</v>
      </c>
      <c r="B39" s="4" t="s">
        <v>94</v>
      </c>
      <c r="C39" s="4" t="s">
        <v>24</v>
      </c>
      <c r="D39" s="4" t="s">
        <v>25</v>
      </c>
      <c r="E39" s="4" t="s">
        <v>26</v>
      </c>
      <c r="F39" s="4" t="s">
        <v>27</v>
      </c>
      <c r="G39" s="4" t="s">
        <v>73</v>
      </c>
      <c r="H39" s="4"/>
      <c r="I39" s="4"/>
      <c r="J39" s="4"/>
      <c r="K39" s="4"/>
      <c r="L39" s="4">
        <v>28</v>
      </c>
      <c r="M39" s="6">
        <f>SUM(270*0.1)</f>
        <v>27</v>
      </c>
      <c r="N39" s="4"/>
      <c r="O39" s="4"/>
      <c r="P39" s="4"/>
      <c r="Q39" s="4"/>
      <c r="R39" s="4"/>
      <c r="S39" s="4"/>
      <c r="T39" s="6">
        <f>SUM(426*0.2*0.2)</f>
        <v>17.040000000000003</v>
      </c>
      <c r="U39" s="6">
        <f>SUM(426*0.15*0.1)</f>
        <v>6.390000000000001</v>
      </c>
      <c r="V39" s="6"/>
      <c r="W39" s="6">
        <f>SUM(426*0.1*0.1)</f>
        <v>4.260000000000001</v>
      </c>
      <c r="X39" s="4"/>
      <c r="Y39" s="6">
        <f>SUM(M39+T39+U39+W39)</f>
        <v>54.690000000000005</v>
      </c>
      <c r="Z39" s="4"/>
      <c r="AA39" s="4"/>
      <c r="AD39" s="4">
        <v>12</v>
      </c>
      <c r="AE39" s="6">
        <f>80*0.1</f>
        <v>8</v>
      </c>
      <c r="AF39" s="4">
        <v>13</v>
      </c>
      <c r="AG39" s="6">
        <f>75*0.1</f>
        <v>7.5</v>
      </c>
      <c r="AJ39" s="4">
        <v>4</v>
      </c>
      <c r="AK39" s="6">
        <f>150*0.28</f>
        <v>42.00000000000001</v>
      </c>
      <c r="AM39" s="6">
        <f>180*0.2*0.3</f>
        <v>10.799999999999999</v>
      </c>
      <c r="AN39" s="6"/>
      <c r="AO39" s="6">
        <f>180*0.1*0.1</f>
        <v>1.8</v>
      </c>
      <c r="AQ39" s="6">
        <f>AE39+AG39+AK39+AM39+AO39</f>
        <v>70.10000000000001</v>
      </c>
      <c r="AR39" s="5">
        <f t="shared" si="7"/>
        <v>124.79000000000002</v>
      </c>
      <c r="AS39" s="5"/>
      <c r="AT39" s="5">
        <f aca="true" t="shared" si="8" ref="AT39:AT51">AR39</f>
        <v>124.79000000000002</v>
      </c>
      <c r="AU39" s="29">
        <v>35</v>
      </c>
    </row>
    <row r="40" spans="1:47" ht="15.75">
      <c r="A40" s="4">
        <v>36</v>
      </c>
      <c r="B40" s="4" t="s">
        <v>60</v>
      </c>
      <c r="C40" s="4" t="s">
        <v>54</v>
      </c>
      <c r="D40" s="4" t="s">
        <v>25</v>
      </c>
      <c r="E40" s="4" t="s">
        <v>26</v>
      </c>
      <c r="F40" s="4" t="s">
        <v>27</v>
      </c>
      <c r="G40" s="4" t="s">
        <v>55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>
        <v>2</v>
      </c>
      <c r="S40" s="6">
        <f>SUM(416*1.2*0.7*0.1)</f>
        <v>34.944</v>
      </c>
      <c r="T40" s="6"/>
      <c r="U40" s="6"/>
      <c r="V40" s="6"/>
      <c r="W40" s="6"/>
      <c r="X40" s="6"/>
      <c r="Y40" s="6">
        <f>SUM(S40)</f>
        <v>34.944</v>
      </c>
      <c r="Z40" s="4"/>
      <c r="AA40" s="4"/>
      <c r="AB40" s="4">
        <v>3</v>
      </c>
      <c r="AC40" s="6">
        <f>160*0.168</f>
        <v>26.880000000000003</v>
      </c>
      <c r="AJ40" s="4">
        <v>2</v>
      </c>
      <c r="AK40" s="6">
        <f>170*0.28</f>
        <v>47.6</v>
      </c>
      <c r="AL40" s="6">
        <f>180*0.075</f>
        <v>13.5</v>
      </c>
      <c r="AQ40" s="6">
        <f>AC40+AK40+AL40</f>
        <v>87.98</v>
      </c>
      <c r="AR40" s="5">
        <f t="shared" si="7"/>
        <v>122.924</v>
      </c>
      <c r="AS40" s="5"/>
      <c r="AT40" s="5">
        <f t="shared" si="8"/>
        <v>122.924</v>
      </c>
      <c r="AU40" s="29">
        <v>36</v>
      </c>
    </row>
    <row r="41" spans="1:47" ht="15.75">
      <c r="A41" s="4">
        <v>37</v>
      </c>
      <c r="B41" s="4" t="s">
        <v>95</v>
      </c>
      <c r="C41" s="4" t="s">
        <v>24</v>
      </c>
      <c r="D41" s="4" t="s">
        <v>25</v>
      </c>
      <c r="E41" s="4" t="s">
        <v>26</v>
      </c>
      <c r="F41" s="4" t="s">
        <v>27</v>
      </c>
      <c r="G41" s="4" t="s">
        <v>73</v>
      </c>
      <c r="H41" s="4"/>
      <c r="I41" s="4"/>
      <c r="J41" s="4"/>
      <c r="K41" s="4"/>
      <c r="L41" s="4">
        <v>15</v>
      </c>
      <c r="M41" s="6">
        <f>SUM(311*0.1)</f>
        <v>31.1</v>
      </c>
      <c r="N41" s="4"/>
      <c r="O41" s="4"/>
      <c r="P41" s="4"/>
      <c r="Q41" s="4"/>
      <c r="R41" s="4"/>
      <c r="S41" s="4"/>
      <c r="T41" s="6">
        <f>SUM(426*0.2*0.2)</f>
        <v>17.040000000000003</v>
      </c>
      <c r="U41" s="6">
        <f>SUM(426*0.15*0.1)</f>
        <v>6.390000000000001</v>
      </c>
      <c r="V41" s="6"/>
      <c r="W41" s="4">
        <v>0</v>
      </c>
      <c r="X41" s="4"/>
      <c r="Y41" s="6">
        <f>SUM(M41+T41+U41)</f>
        <v>54.53</v>
      </c>
      <c r="Z41" s="4"/>
      <c r="AA41" s="4"/>
      <c r="AD41" s="4">
        <v>12</v>
      </c>
      <c r="AE41" s="6">
        <f>80*0.1</f>
        <v>8</v>
      </c>
      <c r="AF41" s="4">
        <v>13</v>
      </c>
      <c r="AG41" s="6">
        <f>75*0.1</f>
        <v>7.5</v>
      </c>
      <c r="AJ41" s="4">
        <v>4</v>
      </c>
      <c r="AK41" s="6">
        <f>150*0.28</f>
        <v>42.00000000000001</v>
      </c>
      <c r="AM41" s="6">
        <f>180*0.2*0.3</f>
        <v>10.799999999999999</v>
      </c>
      <c r="AN41" s="6"/>
      <c r="AQ41" s="6">
        <f>AE41+AG41+AK41+AM41</f>
        <v>68.30000000000001</v>
      </c>
      <c r="AR41" s="5">
        <f t="shared" si="7"/>
        <v>122.83000000000001</v>
      </c>
      <c r="AS41" s="5"/>
      <c r="AT41" s="5">
        <f t="shared" si="8"/>
        <v>122.83000000000001</v>
      </c>
      <c r="AU41" s="29">
        <v>37</v>
      </c>
    </row>
    <row r="42" spans="1:47" ht="15.75">
      <c r="A42" s="4">
        <v>38</v>
      </c>
      <c r="B42" s="4" t="s">
        <v>96</v>
      </c>
      <c r="C42" s="4" t="s">
        <v>67</v>
      </c>
      <c r="D42" s="4" t="s">
        <v>25</v>
      </c>
      <c r="E42" s="4" t="s">
        <v>62</v>
      </c>
      <c r="F42" s="4" t="s">
        <v>27</v>
      </c>
      <c r="G42" s="4" t="s">
        <v>68</v>
      </c>
      <c r="H42" s="4"/>
      <c r="I42" s="4"/>
      <c r="J42" s="4"/>
      <c r="K42" s="4"/>
      <c r="L42" s="4">
        <v>21</v>
      </c>
      <c r="M42" s="6">
        <f>SUM(284*0.1)</f>
        <v>28.400000000000002</v>
      </c>
      <c r="N42" s="4"/>
      <c r="O42" s="4"/>
      <c r="P42" s="4"/>
      <c r="Q42" s="4"/>
      <c r="R42" s="4"/>
      <c r="S42" s="4"/>
      <c r="T42" s="6">
        <f>SUM(426*0.25*0.3)</f>
        <v>31.95</v>
      </c>
      <c r="U42" s="6">
        <f>SUM(426*0.15*0.1)</f>
        <v>6.390000000000001</v>
      </c>
      <c r="V42" s="6"/>
      <c r="W42" s="4"/>
      <c r="X42" s="4"/>
      <c r="Y42" s="6">
        <f>SUM(M42+T42+U42)</f>
        <v>66.74000000000001</v>
      </c>
      <c r="Z42" s="4"/>
      <c r="AA42" s="4"/>
      <c r="AD42" s="4">
        <v>5</v>
      </c>
      <c r="AE42" s="6">
        <f>140*0.1</f>
        <v>14</v>
      </c>
      <c r="AF42" s="4">
        <v>12</v>
      </c>
      <c r="AG42" s="6">
        <f>80*0.1</f>
        <v>8</v>
      </c>
      <c r="AJ42" s="4">
        <v>8</v>
      </c>
      <c r="AK42" s="6">
        <f>110*0.28</f>
        <v>30.800000000000004</v>
      </c>
      <c r="AL42" s="6">
        <f>180*0.015</f>
        <v>2.6999999999999997</v>
      </c>
      <c r="AQ42" s="6">
        <f>AE42+AG42+AK42+AL42</f>
        <v>55.50000000000001</v>
      </c>
      <c r="AR42" s="5">
        <f t="shared" si="7"/>
        <v>122.24000000000001</v>
      </c>
      <c r="AS42" s="5"/>
      <c r="AT42" s="5">
        <f t="shared" si="8"/>
        <v>122.24000000000001</v>
      </c>
      <c r="AU42" s="29">
        <v>38</v>
      </c>
    </row>
    <row r="43" spans="1:47" ht="15.75">
      <c r="A43" s="4">
        <v>39</v>
      </c>
      <c r="B43" s="4" t="s">
        <v>97</v>
      </c>
      <c r="C43" s="4" t="s">
        <v>67</v>
      </c>
      <c r="D43" s="4" t="s">
        <v>25</v>
      </c>
      <c r="E43" s="4" t="s">
        <v>62</v>
      </c>
      <c r="F43" s="4" t="s">
        <v>27</v>
      </c>
      <c r="G43" s="4" t="s">
        <v>68</v>
      </c>
      <c r="H43" s="4"/>
      <c r="I43" s="4"/>
      <c r="J43" s="4"/>
      <c r="K43" s="4"/>
      <c r="L43" s="4">
        <v>21</v>
      </c>
      <c r="M43" s="6">
        <f>SUM(284*0.1)</f>
        <v>28.400000000000002</v>
      </c>
      <c r="N43" s="4"/>
      <c r="O43" s="4"/>
      <c r="P43" s="4"/>
      <c r="Q43" s="4"/>
      <c r="R43" s="4"/>
      <c r="S43" s="4"/>
      <c r="T43" s="6">
        <f>SUM(426*0.25*0.3)</f>
        <v>31.95</v>
      </c>
      <c r="U43" s="6">
        <f>SUM(426*0.15*0.1)</f>
        <v>6.390000000000001</v>
      </c>
      <c r="V43" s="6"/>
      <c r="W43" s="4"/>
      <c r="X43" s="4"/>
      <c r="Y43" s="6">
        <f>SUM(M43+T43+U43)</f>
        <v>66.74000000000001</v>
      </c>
      <c r="Z43" s="4"/>
      <c r="AA43" s="4"/>
      <c r="AD43" s="4">
        <v>5</v>
      </c>
      <c r="AE43" s="6">
        <f>140*0.1</f>
        <v>14</v>
      </c>
      <c r="AF43" s="4">
        <v>12</v>
      </c>
      <c r="AG43" s="6">
        <f>80*0.1</f>
        <v>8</v>
      </c>
      <c r="AJ43" s="4">
        <v>8</v>
      </c>
      <c r="AK43" s="6">
        <f>110*0.28</f>
        <v>30.800000000000004</v>
      </c>
      <c r="AL43" s="6">
        <f>180*0.015</f>
        <v>2.6999999999999997</v>
      </c>
      <c r="AQ43" s="6">
        <f>AE43+AG43+AK43+AL43</f>
        <v>55.50000000000001</v>
      </c>
      <c r="AR43" s="5">
        <f t="shared" si="7"/>
        <v>122.24000000000001</v>
      </c>
      <c r="AS43" s="5"/>
      <c r="AT43" s="5">
        <f t="shared" si="8"/>
        <v>122.24000000000001</v>
      </c>
      <c r="AU43" s="29">
        <v>39</v>
      </c>
    </row>
    <row r="44" spans="1:47" ht="15.75">
      <c r="A44" s="4">
        <v>40</v>
      </c>
      <c r="B44" s="4" t="s">
        <v>50</v>
      </c>
      <c r="C44" s="4" t="s">
        <v>43</v>
      </c>
      <c r="D44" s="4" t="s">
        <v>25</v>
      </c>
      <c r="E44" s="4" t="s">
        <v>28</v>
      </c>
      <c r="F44" s="4" t="s">
        <v>27</v>
      </c>
      <c r="G44" s="4" t="s">
        <v>71</v>
      </c>
      <c r="H44" s="4"/>
      <c r="I44" s="4"/>
      <c r="J44" s="4"/>
      <c r="K44" s="4"/>
      <c r="L44" s="4">
        <v>5</v>
      </c>
      <c r="M44" s="6">
        <f>SUM(386*0.1)</f>
        <v>38.6</v>
      </c>
      <c r="N44" s="4"/>
      <c r="O44" s="4"/>
      <c r="P44" s="4"/>
      <c r="Q44" s="4"/>
      <c r="R44" s="4"/>
      <c r="S44" s="4"/>
      <c r="T44" s="6">
        <f>SUM(426*0.25*0.3)</f>
        <v>31.95</v>
      </c>
      <c r="U44" s="4">
        <v>0</v>
      </c>
      <c r="V44" s="4"/>
      <c r="W44" s="4"/>
      <c r="X44" s="4"/>
      <c r="Y44" s="6">
        <f>SUM(M44+T44)</f>
        <v>70.55</v>
      </c>
      <c r="Z44" s="4"/>
      <c r="AA44" s="4"/>
      <c r="AB44" s="4">
        <v>4</v>
      </c>
      <c r="AC44" s="6">
        <f>150*0.168</f>
        <v>25.200000000000003</v>
      </c>
      <c r="AJ44" s="4">
        <v>7</v>
      </c>
      <c r="AK44" s="6">
        <f>120*0.2</f>
        <v>24</v>
      </c>
      <c r="AQ44" s="6">
        <f>AC44+AK44</f>
        <v>49.2</v>
      </c>
      <c r="AR44" s="5">
        <f t="shared" si="7"/>
        <v>119.75</v>
      </c>
      <c r="AS44" s="5"/>
      <c r="AT44" s="5">
        <f t="shared" si="8"/>
        <v>119.75</v>
      </c>
      <c r="AU44" s="29">
        <v>40</v>
      </c>
    </row>
    <row r="45" spans="1:47" ht="15.75">
      <c r="A45" s="4">
        <v>41</v>
      </c>
      <c r="B45" s="4" t="s">
        <v>98</v>
      </c>
      <c r="C45" s="4" t="s">
        <v>63</v>
      </c>
      <c r="D45" s="4" t="s">
        <v>25</v>
      </c>
      <c r="E45" s="4" t="s">
        <v>62</v>
      </c>
      <c r="F45" s="4" t="s">
        <v>27</v>
      </c>
      <c r="G45" s="4" t="s">
        <v>64</v>
      </c>
      <c r="H45" s="4">
        <v>6</v>
      </c>
      <c r="I45" s="6">
        <f>376*0.035</f>
        <v>13.160000000000002</v>
      </c>
      <c r="J45" s="6"/>
      <c r="K45" s="6"/>
      <c r="L45" s="4"/>
      <c r="M45" s="4"/>
      <c r="N45" s="4"/>
      <c r="O45" s="4"/>
      <c r="P45" s="4"/>
      <c r="Q45" s="4"/>
      <c r="R45" s="4">
        <v>1</v>
      </c>
      <c r="S45" s="6">
        <f>SUM(426*1.2*0.7*0.1)</f>
        <v>35.784</v>
      </c>
      <c r="T45" s="6"/>
      <c r="U45" s="6"/>
      <c r="V45" s="6"/>
      <c r="W45" s="6"/>
      <c r="X45" s="6"/>
      <c r="Y45" s="6">
        <f>SUM(I45+S45)</f>
        <v>48.944</v>
      </c>
      <c r="Z45" s="4"/>
      <c r="AA45" s="4"/>
      <c r="AB45" s="4">
        <v>3</v>
      </c>
      <c r="AC45" s="6">
        <f>160*0.196</f>
        <v>31.36</v>
      </c>
      <c r="AJ45" s="4">
        <v>5</v>
      </c>
      <c r="AK45" s="6">
        <f>140*0.28</f>
        <v>39.2</v>
      </c>
      <c r="AQ45" s="6">
        <f>AC45+AK45</f>
        <v>70.56</v>
      </c>
      <c r="AR45" s="5">
        <f t="shared" si="7"/>
        <v>119.504</v>
      </c>
      <c r="AS45" s="5"/>
      <c r="AT45" s="5">
        <f t="shared" si="8"/>
        <v>119.504</v>
      </c>
      <c r="AU45" s="29">
        <v>41</v>
      </c>
    </row>
    <row r="46" spans="1:47" ht="15.75">
      <c r="A46" s="4">
        <v>42</v>
      </c>
      <c r="B46" s="4" t="s">
        <v>40</v>
      </c>
      <c r="C46" s="4" t="s">
        <v>32</v>
      </c>
      <c r="D46" s="4" t="s">
        <v>25</v>
      </c>
      <c r="E46" s="4" t="s">
        <v>26</v>
      </c>
      <c r="F46" s="4" t="s">
        <v>27</v>
      </c>
      <c r="G46" s="4" t="s">
        <v>72</v>
      </c>
      <c r="H46" s="4"/>
      <c r="I46" s="4"/>
      <c r="J46" s="4"/>
      <c r="K46" s="4"/>
      <c r="L46" s="4"/>
      <c r="M46" s="4"/>
      <c r="N46" s="4">
        <v>3</v>
      </c>
      <c r="O46" s="6">
        <f>SUM(406*0.7*0.1)</f>
        <v>28.42</v>
      </c>
      <c r="P46" s="4"/>
      <c r="Q46" s="4"/>
      <c r="R46" s="4">
        <v>6</v>
      </c>
      <c r="S46" s="6">
        <f>SUM(376*0.7*0.1)</f>
        <v>26.32</v>
      </c>
      <c r="T46" s="6">
        <f>426*0.15*0.1</f>
        <v>6.390000000000001</v>
      </c>
      <c r="U46" s="6">
        <f>426*0.15*0.1</f>
        <v>6.390000000000001</v>
      </c>
      <c r="V46" s="6">
        <f>426*0.15*0.1</f>
        <v>6.390000000000001</v>
      </c>
      <c r="W46" s="6"/>
      <c r="X46" s="6"/>
      <c r="Y46" s="6">
        <f>SUM(O46+S46+T46+U46+V46)</f>
        <v>73.91000000000001</v>
      </c>
      <c r="Z46" s="4"/>
      <c r="AA46" s="4"/>
      <c r="AB46" s="4">
        <v>2</v>
      </c>
      <c r="AC46" s="6">
        <f>170*0.168</f>
        <v>28.560000000000002</v>
      </c>
      <c r="AL46" s="6">
        <f>180*0.015</f>
        <v>2.6999999999999997</v>
      </c>
      <c r="AM46" s="6">
        <f>180*0.015</f>
        <v>2.6999999999999997</v>
      </c>
      <c r="AN46" s="6">
        <f>180*0.04</f>
        <v>7.2</v>
      </c>
      <c r="AQ46" s="6">
        <f>AC46+AL46+AM46+AN46</f>
        <v>41.160000000000004</v>
      </c>
      <c r="AR46" s="5">
        <f t="shared" si="7"/>
        <v>115.07000000000002</v>
      </c>
      <c r="AS46" s="5"/>
      <c r="AT46" s="5">
        <f t="shared" si="8"/>
        <v>115.07000000000002</v>
      </c>
      <c r="AU46" s="29">
        <v>42</v>
      </c>
    </row>
    <row r="47" spans="1:47" ht="15.75">
      <c r="A47" s="4">
        <v>43</v>
      </c>
      <c r="B47" s="4" t="s">
        <v>99</v>
      </c>
      <c r="C47" s="4" t="s">
        <v>65</v>
      </c>
      <c r="D47" s="4" t="s">
        <v>25</v>
      </c>
      <c r="E47" s="4" t="s">
        <v>28</v>
      </c>
      <c r="F47" s="4" t="s">
        <v>27</v>
      </c>
      <c r="G47" s="4" t="s">
        <v>74</v>
      </c>
      <c r="H47" s="4">
        <v>8</v>
      </c>
      <c r="I47" s="6">
        <f>356*0.035</f>
        <v>12.46</v>
      </c>
      <c r="J47" s="6"/>
      <c r="K47" s="6"/>
      <c r="L47" s="4"/>
      <c r="M47" s="4"/>
      <c r="N47" s="4">
        <v>8</v>
      </c>
      <c r="O47" s="6">
        <f>SUM(356*0.7*0.1)</f>
        <v>24.92</v>
      </c>
      <c r="P47" s="4"/>
      <c r="Q47" s="4"/>
      <c r="R47" s="4"/>
      <c r="S47" s="4"/>
      <c r="T47" s="6">
        <f>SUM(426*0.2*0.2)</f>
        <v>17.040000000000003</v>
      </c>
      <c r="U47" s="4"/>
      <c r="V47" s="4"/>
      <c r="W47" s="6">
        <v>0</v>
      </c>
      <c r="X47" s="4"/>
      <c r="Y47" s="6">
        <f>SUM(I47+O47+T47)</f>
        <v>54.42</v>
      </c>
      <c r="Z47" s="4"/>
      <c r="AA47" s="4"/>
      <c r="AB47" s="4">
        <v>2</v>
      </c>
      <c r="AC47" s="6">
        <f>170*0.196</f>
        <v>33.32</v>
      </c>
      <c r="AJ47" s="4">
        <v>10</v>
      </c>
      <c r="AK47" s="6">
        <f>90*0.28</f>
        <v>25.200000000000003</v>
      </c>
      <c r="AQ47" s="6">
        <f>AC47+AK47</f>
        <v>58.52</v>
      </c>
      <c r="AR47" s="5">
        <f t="shared" si="7"/>
        <v>112.94</v>
      </c>
      <c r="AS47" s="5"/>
      <c r="AT47" s="5">
        <f t="shared" si="8"/>
        <v>112.94</v>
      </c>
      <c r="AU47" s="29">
        <v>43</v>
      </c>
    </row>
    <row r="48" spans="1:47" ht="15.75">
      <c r="A48" s="4">
        <v>44</v>
      </c>
      <c r="B48" s="4" t="s">
        <v>39</v>
      </c>
      <c r="C48" s="4" t="s">
        <v>32</v>
      </c>
      <c r="D48" s="4" t="s">
        <v>25</v>
      </c>
      <c r="E48" s="4" t="s">
        <v>26</v>
      </c>
      <c r="F48" s="4" t="s">
        <v>27</v>
      </c>
      <c r="G48" s="4" t="s">
        <v>72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>
        <v>3</v>
      </c>
      <c r="S48" s="6">
        <f>SUM(406*1.2*0.7*0.1)</f>
        <v>34.104</v>
      </c>
      <c r="T48" s="6">
        <f>426*0.15*0.1</f>
        <v>6.390000000000001</v>
      </c>
      <c r="U48" s="6">
        <f>426*0.15*0.1</f>
        <v>6.390000000000001</v>
      </c>
      <c r="V48" s="6">
        <f>426*0.15*0.1</f>
        <v>6.390000000000001</v>
      </c>
      <c r="W48" s="6"/>
      <c r="X48" s="6"/>
      <c r="Y48" s="6">
        <f>S48+T48+U48+V48</f>
        <v>53.274</v>
      </c>
      <c r="Z48" s="4"/>
      <c r="AA48" s="4"/>
      <c r="AJ48" s="4">
        <v>3</v>
      </c>
      <c r="AK48" s="6">
        <f>160*0.28</f>
        <v>44.800000000000004</v>
      </c>
      <c r="AL48" s="6">
        <f>180*0.015</f>
        <v>2.6999999999999997</v>
      </c>
      <c r="AM48" s="6">
        <f>180*0.015</f>
        <v>2.6999999999999997</v>
      </c>
      <c r="AN48" s="6">
        <f>180*0.04</f>
        <v>7.2</v>
      </c>
      <c r="AQ48" s="6">
        <f>AK48+AL48+AM48+AN48</f>
        <v>57.40000000000001</v>
      </c>
      <c r="AR48" s="5">
        <f t="shared" si="7"/>
        <v>110.674</v>
      </c>
      <c r="AS48" s="5"/>
      <c r="AT48" s="5">
        <f t="shared" si="8"/>
        <v>110.674</v>
      </c>
      <c r="AU48" s="29">
        <v>44</v>
      </c>
    </row>
    <row r="49" spans="1:47" ht="15.75">
      <c r="A49" s="4">
        <v>45</v>
      </c>
      <c r="B49" s="4" t="s">
        <v>100</v>
      </c>
      <c r="C49" s="4" t="s">
        <v>67</v>
      </c>
      <c r="D49" s="4" t="s">
        <v>25</v>
      </c>
      <c r="E49" s="4" t="s">
        <v>62</v>
      </c>
      <c r="F49" s="4" t="s">
        <v>27</v>
      </c>
      <c r="G49" s="4" t="s">
        <v>68</v>
      </c>
      <c r="H49" s="4"/>
      <c r="I49" s="4"/>
      <c r="J49" s="4"/>
      <c r="K49" s="4"/>
      <c r="L49" s="4">
        <v>2</v>
      </c>
      <c r="M49" s="6">
        <f>SUM(416*0.1)</f>
        <v>41.6</v>
      </c>
      <c r="N49" s="4"/>
      <c r="O49" s="4"/>
      <c r="P49" s="4"/>
      <c r="Q49" s="4"/>
      <c r="R49" s="4"/>
      <c r="S49" s="4"/>
      <c r="T49" s="6">
        <f>SUM(426*0.25*0.3)</f>
        <v>31.95</v>
      </c>
      <c r="U49" s="6">
        <f>SUM(426*0.15*0.1)</f>
        <v>6.390000000000001</v>
      </c>
      <c r="V49" s="6"/>
      <c r="W49" s="4"/>
      <c r="X49" s="4"/>
      <c r="Y49" s="6">
        <f>SUM(M49+T49+U49)</f>
        <v>79.94</v>
      </c>
      <c r="Z49" s="4"/>
      <c r="AA49" s="4"/>
      <c r="AJ49" s="4">
        <v>5</v>
      </c>
      <c r="AK49" s="6">
        <f>140*0.2</f>
        <v>28</v>
      </c>
      <c r="AL49" s="6">
        <f>180*0.015</f>
        <v>2.6999999999999997</v>
      </c>
      <c r="AQ49" s="6">
        <f>AK49+AL49</f>
        <v>30.7</v>
      </c>
      <c r="AR49" s="5">
        <f t="shared" si="7"/>
        <v>110.64</v>
      </c>
      <c r="AS49" s="5"/>
      <c r="AT49" s="5">
        <f t="shared" si="8"/>
        <v>110.64</v>
      </c>
      <c r="AU49" s="29">
        <v>45</v>
      </c>
    </row>
    <row r="50" spans="1:47" ht="15.75">
      <c r="A50" s="4">
        <v>46</v>
      </c>
      <c r="B50" s="4" t="s">
        <v>101</v>
      </c>
      <c r="C50" s="4" t="s">
        <v>67</v>
      </c>
      <c r="D50" s="4" t="s">
        <v>25</v>
      </c>
      <c r="E50" s="4" t="s">
        <v>62</v>
      </c>
      <c r="F50" s="4" t="s">
        <v>27</v>
      </c>
      <c r="G50" s="4" t="s">
        <v>68</v>
      </c>
      <c r="H50" s="4"/>
      <c r="I50" s="4"/>
      <c r="J50" s="4"/>
      <c r="K50" s="4"/>
      <c r="L50" s="4">
        <v>3</v>
      </c>
      <c r="M50" s="6">
        <f>SUM(406*0.1)</f>
        <v>40.6</v>
      </c>
      <c r="N50" s="4"/>
      <c r="O50" s="4"/>
      <c r="P50" s="4"/>
      <c r="Q50" s="4"/>
      <c r="R50" s="4"/>
      <c r="S50" s="4"/>
      <c r="T50" s="6">
        <f>SUM(426*0.25*0.3)</f>
        <v>31.95</v>
      </c>
      <c r="U50" s="6">
        <f>SUM(426*0.15*0.1)</f>
        <v>6.390000000000001</v>
      </c>
      <c r="V50" s="6"/>
      <c r="W50" s="4"/>
      <c r="X50" s="4"/>
      <c r="Y50" s="6">
        <f>SUM(M50+T50+U50)</f>
        <v>78.94</v>
      </c>
      <c r="Z50" s="4"/>
      <c r="AA50" s="4"/>
      <c r="AJ50" s="4">
        <v>5</v>
      </c>
      <c r="AK50" s="6">
        <f>140*0.2</f>
        <v>28</v>
      </c>
      <c r="AL50" s="6">
        <f>180*0.015</f>
        <v>2.6999999999999997</v>
      </c>
      <c r="AQ50" s="6">
        <f>AK50+AL50</f>
        <v>30.7</v>
      </c>
      <c r="AR50" s="5">
        <f t="shared" si="7"/>
        <v>109.64</v>
      </c>
      <c r="AS50" s="5"/>
      <c r="AT50" s="5">
        <f t="shared" si="8"/>
        <v>109.64</v>
      </c>
      <c r="AU50" s="29">
        <v>46</v>
      </c>
    </row>
    <row r="51" spans="1:47" ht="15.75">
      <c r="A51" s="4">
        <v>47</v>
      </c>
      <c r="B51" s="4" t="s">
        <v>102</v>
      </c>
      <c r="C51" s="4" t="s">
        <v>63</v>
      </c>
      <c r="D51" s="4" t="s">
        <v>25</v>
      </c>
      <c r="E51" s="4" t="s">
        <v>62</v>
      </c>
      <c r="F51" s="4" t="s">
        <v>27</v>
      </c>
      <c r="G51" s="4" t="s">
        <v>64</v>
      </c>
      <c r="H51" s="4">
        <v>6</v>
      </c>
      <c r="I51" s="6">
        <f>376*0.035</f>
        <v>13.160000000000002</v>
      </c>
      <c r="J51" s="6"/>
      <c r="K51" s="6"/>
      <c r="L51" s="4"/>
      <c r="M51" s="4"/>
      <c r="N51" s="4"/>
      <c r="O51" s="4"/>
      <c r="P51" s="4"/>
      <c r="Q51" s="4"/>
      <c r="R51" s="4">
        <v>8</v>
      </c>
      <c r="S51" s="6">
        <f>SUM(356*1.2*0.7*0.1)</f>
        <v>29.903999999999996</v>
      </c>
      <c r="T51" s="6"/>
      <c r="U51" s="6"/>
      <c r="V51" s="6"/>
      <c r="W51" s="6"/>
      <c r="X51" s="6"/>
      <c r="Y51" s="6">
        <f>SUM(I51+S51)</f>
        <v>43.064</v>
      </c>
      <c r="Z51" s="4"/>
      <c r="AA51" s="4"/>
      <c r="AD51" s="4">
        <v>2</v>
      </c>
      <c r="AE51" s="6">
        <f>170*0.1</f>
        <v>17</v>
      </c>
      <c r="AF51" s="4">
        <v>9</v>
      </c>
      <c r="AG51" s="6">
        <f>100*0.1</f>
        <v>10</v>
      </c>
      <c r="AJ51" s="4">
        <v>5</v>
      </c>
      <c r="AK51" s="6">
        <f>140*0.28</f>
        <v>39.2</v>
      </c>
      <c r="AQ51" s="6">
        <f>AE51+AG51+AK51</f>
        <v>66.2</v>
      </c>
      <c r="AR51" s="5">
        <f t="shared" si="7"/>
        <v>109.26400000000001</v>
      </c>
      <c r="AS51" s="5"/>
      <c r="AT51" s="5">
        <f t="shared" si="8"/>
        <v>109.26400000000001</v>
      </c>
      <c r="AU51" s="29">
        <v>47</v>
      </c>
    </row>
    <row r="52" spans="1:47" ht="15.75">
      <c r="A52" s="4">
        <v>48</v>
      </c>
      <c r="B52" s="4" t="s">
        <v>103</v>
      </c>
      <c r="C52" s="4" t="s">
        <v>24</v>
      </c>
      <c r="D52" s="4" t="s">
        <v>25</v>
      </c>
      <c r="E52" s="4" t="s">
        <v>28</v>
      </c>
      <c r="F52" s="4" t="s">
        <v>27</v>
      </c>
      <c r="G52" s="4" t="s">
        <v>73</v>
      </c>
      <c r="H52" s="4">
        <v>2</v>
      </c>
      <c r="I52" s="6">
        <f>416*0.035</f>
        <v>14.560000000000002</v>
      </c>
      <c r="J52" s="6"/>
      <c r="K52" s="6"/>
      <c r="L52" s="4"/>
      <c r="M52" s="4"/>
      <c r="N52" s="4"/>
      <c r="O52" s="4"/>
      <c r="P52" s="4"/>
      <c r="Q52" s="4"/>
      <c r="R52" s="4">
        <v>2</v>
      </c>
      <c r="S52" s="6">
        <f>SUM(416*0.7*0.1)</f>
        <v>29.12</v>
      </c>
      <c r="T52" s="4">
        <v>0</v>
      </c>
      <c r="U52" s="6">
        <f>SUM(426*0.15*0.1)</f>
        <v>6.390000000000001</v>
      </c>
      <c r="V52" s="6"/>
      <c r="W52" s="6">
        <f>SUM(426*0.1*0.1)</f>
        <v>4.260000000000001</v>
      </c>
      <c r="X52" s="6"/>
      <c r="Y52" s="6">
        <f>SUM(I52+S52+U52+W52)</f>
        <v>54.330000000000005</v>
      </c>
      <c r="Z52" s="4">
        <v>1</v>
      </c>
      <c r="AA52" s="6">
        <f>426*0.5*0.4*0.1</f>
        <v>8.520000000000001</v>
      </c>
      <c r="AB52" s="4">
        <v>6</v>
      </c>
      <c r="AC52" s="6">
        <f>130*0.168</f>
        <v>21.84</v>
      </c>
      <c r="AL52" s="6">
        <f>180*0.2*0.3</f>
        <v>10.799999999999999</v>
      </c>
      <c r="AQ52" s="6">
        <f>AA52+AC52+AL52</f>
        <v>41.16</v>
      </c>
      <c r="AR52" s="5">
        <f t="shared" si="7"/>
        <v>95.49000000000001</v>
      </c>
      <c r="AS52" s="6">
        <f>180*0.075</f>
        <v>13.5</v>
      </c>
      <c r="AT52" s="5">
        <f>AR52+AS52</f>
        <v>108.99000000000001</v>
      </c>
      <c r="AU52" s="29">
        <v>48</v>
      </c>
    </row>
    <row r="53" spans="1:47" ht="15.75">
      <c r="A53" s="4">
        <v>49</v>
      </c>
      <c r="B53" s="4" t="s">
        <v>104</v>
      </c>
      <c r="C53" s="4" t="s">
        <v>43</v>
      </c>
      <c r="D53" s="4" t="s">
        <v>25</v>
      </c>
      <c r="E53" s="4" t="s">
        <v>28</v>
      </c>
      <c r="F53" s="4" t="s">
        <v>27</v>
      </c>
      <c r="G53" s="4" t="s">
        <v>71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6">
        <v>0</v>
      </c>
      <c r="U53" s="6">
        <f>SUM(426*0.15*0.1)</f>
        <v>6.390000000000001</v>
      </c>
      <c r="V53" s="6"/>
      <c r="W53" s="4"/>
      <c r="X53" s="4"/>
      <c r="Y53" s="6">
        <f>SUM(U53)</f>
        <v>6.390000000000001</v>
      </c>
      <c r="Z53" s="4">
        <v>1</v>
      </c>
      <c r="AA53" s="6">
        <f>426*0.5*0.4*0.1</f>
        <v>8.520000000000001</v>
      </c>
      <c r="AH53" s="4">
        <v>7</v>
      </c>
      <c r="AI53" s="6">
        <f>120*0.36</f>
        <v>43.199999999999996</v>
      </c>
      <c r="AJ53" s="4">
        <v>1</v>
      </c>
      <c r="AK53" s="6">
        <f>180*0.28</f>
        <v>50.400000000000006</v>
      </c>
      <c r="AQ53" s="6">
        <f>AA53+AI53+AK53</f>
        <v>102.12</v>
      </c>
      <c r="AR53" s="5">
        <f t="shared" si="7"/>
        <v>108.51</v>
      </c>
      <c r="AS53" s="5"/>
      <c r="AT53" s="5">
        <f aca="true" t="shared" si="9" ref="AT53:AT58">AR53</f>
        <v>108.51</v>
      </c>
      <c r="AU53" s="29">
        <v>49</v>
      </c>
    </row>
    <row r="54" spans="1:47" ht="15.75">
      <c r="A54" s="4">
        <v>50</v>
      </c>
      <c r="B54" s="4" t="s">
        <v>53</v>
      </c>
      <c r="C54" s="4" t="s">
        <v>43</v>
      </c>
      <c r="D54" s="4" t="s">
        <v>25</v>
      </c>
      <c r="E54" s="4" t="s">
        <v>28</v>
      </c>
      <c r="F54" s="4" t="s">
        <v>27</v>
      </c>
      <c r="G54" s="4" t="s">
        <v>71</v>
      </c>
      <c r="H54" s="4"/>
      <c r="I54" s="4"/>
      <c r="J54" s="4"/>
      <c r="K54" s="4"/>
      <c r="L54" s="4">
        <v>1</v>
      </c>
      <c r="M54" s="6">
        <f>SUM(426*0.1)</f>
        <v>42.6</v>
      </c>
      <c r="N54" s="4"/>
      <c r="O54" s="4"/>
      <c r="P54" s="4"/>
      <c r="Q54" s="4"/>
      <c r="R54" s="4"/>
      <c r="S54" s="4"/>
      <c r="T54" s="6">
        <f>SUM(426*0.25*0.3)</f>
        <v>31.95</v>
      </c>
      <c r="U54" s="6">
        <f>SUM(426*0.15*0.1)</f>
        <v>6.390000000000001</v>
      </c>
      <c r="V54" s="6"/>
      <c r="W54" s="4"/>
      <c r="X54" s="4"/>
      <c r="Y54" s="6">
        <f>SUM(M54+T54+U54)</f>
        <v>80.94</v>
      </c>
      <c r="Z54" s="4"/>
      <c r="AA54" s="4"/>
      <c r="AJ54" s="4">
        <v>7</v>
      </c>
      <c r="AK54" s="6">
        <f>120*0.2</f>
        <v>24</v>
      </c>
      <c r="AQ54" s="6">
        <f>AK54</f>
        <v>24</v>
      </c>
      <c r="AR54" s="5">
        <f t="shared" si="7"/>
        <v>104.94</v>
      </c>
      <c r="AS54" s="5"/>
      <c r="AT54" s="5">
        <f t="shared" si="9"/>
        <v>104.94</v>
      </c>
      <c r="AU54" s="29">
        <v>50</v>
      </c>
    </row>
    <row r="55" spans="1:47" ht="15.75">
      <c r="A55" s="4">
        <v>51</v>
      </c>
      <c r="B55" s="4" t="s">
        <v>57</v>
      </c>
      <c r="C55" s="4" t="s">
        <v>54</v>
      </c>
      <c r="D55" s="4" t="s">
        <v>25</v>
      </c>
      <c r="E55" s="4" t="s">
        <v>26</v>
      </c>
      <c r="F55" s="4" t="s">
        <v>27</v>
      </c>
      <c r="G55" s="4" t="s">
        <v>55</v>
      </c>
      <c r="H55" s="4"/>
      <c r="I55" s="4"/>
      <c r="J55" s="4"/>
      <c r="K55" s="4"/>
      <c r="L55" s="4"/>
      <c r="M55" s="4"/>
      <c r="N55" s="4">
        <v>8</v>
      </c>
      <c r="O55" s="6">
        <f>SUM(356*0.7*0.1)</f>
        <v>24.92</v>
      </c>
      <c r="P55" s="4"/>
      <c r="Q55" s="4"/>
      <c r="R55" s="4"/>
      <c r="S55" s="4"/>
      <c r="T55" s="4"/>
      <c r="U55" s="4"/>
      <c r="V55" s="4"/>
      <c r="W55" s="4"/>
      <c r="X55" s="4"/>
      <c r="Y55" s="6">
        <f>SUM(O55)</f>
        <v>24.92</v>
      </c>
      <c r="Z55" s="4"/>
      <c r="AA55" s="4"/>
      <c r="AB55" s="4">
        <v>8</v>
      </c>
      <c r="AC55" s="6">
        <f>110*0.168</f>
        <v>18.48</v>
      </c>
      <c r="AJ55" s="4">
        <v>2</v>
      </c>
      <c r="AK55" s="6">
        <f>170*0.28</f>
        <v>47.6</v>
      </c>
      <c r="AL55" s="6">
        <f>180*0.075</f>
        <v>13.5</v>
      </c>
      <c r="AQ55" s="6">
        <f>AC55+AK55+AL55</f>
        <v>79.58</v>
      </c>
      <c r="AR55" s="5">
        <f t="shared" si="7"/>
        <v>104.5</v>
      </c>
      <c r="AS55" s="5"/>
      <c r="AT55" s="5">
        <f t="shared" si="9"/>
        <v>104.5</v>
      </c>
      <c r="AU55" s="29">
        <v>51</v>
      </c>
    </row>
    <row r="56" spans="1:47" ht="15.75">
      <c r="A56" s="4">
        <v>52</v>
      </c>
      <c r="B56" s="4" t="s">
        <v>105</v>
      </c>
      <c r="C56" s="4" t="s">
        <v>67</v>
      </c>
      <c r="D56" s="4" t="s">
        <v>25</v>
      </c>
      <c r="E56" s="4" t="s">
        <v>62</v>
      </c>
      <c r="F56" s="4" t="s">
        <v>27</v>
      </c>
      <c r="G56" s="4" t="s">
        <v>68</v>
      </c>
      <c r="H56" s="4"/>
      <c r="I56" s="4"/>
      <c r="J56" s="4"/>
      <c r="K56" s="4"/>
      <c r="L56" s="4">
        <v>12</v>
      </c>
      <c r="M56" s="6">
        <f>SUM(326*0.1)</f>
        <v>32.6</v>
      </c>
      <c r="N56" s="4"/>
      <c r="O56" s="4"/>
      <c r="P56" s="4"/>
      <c r="Q56" s="4"/>
      <c r="R56" s="4"/>
      <c r="S56" s="4"/>
      <c r="T56" s="6">
        <f>SUM(426*0.25*0.3)</f>
        <v>31.95</v>
      </c>
      <c r="U56" s="6">
        <f>SUM(426*0.15*0.1)</f>
        <v>6.390000000000001</v>
      </c>
      <c r="V56" s="6"/>
      <c r="W56" s="4"/>
      <c r="X56" s="4"/>
      <c r="Y56" s="6">
        <f>SUM(M56+T56+U56)</f>
        <v>70.94</v>
      </c>
      <c r="Z56" s="4"/>
      <c r="AA56" s="4"/>
      <c r="AJ56" s="4">
        <v>8</v>
      </c>
      <c r="AK56" s="6">
        <f>110*0.28</f>
        <v>30.800000000000004</v>
      </c>
      <c r="AL56" s="6">
        <f>180*0.015</f>
        <v>2.6999999999999997</v>
      </c>
      <c r="AQ56" s="6">
        <f>AK56+AL56</f>
        <v>33.50000000000001</v>
      </c>
      <c r="AR56" s="5">
        <f t="shared" si="7"/>
        <v>104.44</v>
      </c>
      <c r="AS56" s="5"/>
      <c r="AT56" s="5">
        <f t="shared" si="9"/>
        <v>104.44</v>
      </c>
      <c r="AU56" s="29">
        <v>52</v>
      </c>
    </row>
    <row r="57" spans="1:47" ht="15.75">
      <c r="A57" s="4">
        <v>53</v>
      </c>
      <c r="B57" s="4" t="s">
        <v>106</v>
      </c>
      <c r="C57" s="4" t="s">
        <v>67</v>
      </c>
      <c r="D57" s="4" t="s">
        <v>25</v>
      </c>
      <c r="E57" s="4" t="s">
        <v>62</v>
      </c>
      <c r="F57" s="4" t="s">
        <v>27</v>
      </c>
      <c r="G57" s="4" t="s">
        <v>68</v>
      </c>
      <c r="H57" s="4"/>
      <c r="I57" s="4"/>
      <c r="J57" s="4"/>
      <c r="K57" s="4"/>
      <c r="L57" s="4">
        <v>13</v>
      </c>
      <c r="M57" s="6">
        <f>SUM(321*0.1)</f>
        <v>32.1</v>
      </c>
      <c r="N57" s="4"/>
      <c r="O57" s="4"/>
      <c r="P57" s="4"/>
      <c r="Q57" s="4"/>
      <c r="R57" s="4"/>
      <c r="S57" s="4"/>
      <c r="T57" s="6">
        <f>SUM(426*0.25*0.3)</f>
        <v>31.95</v>
      </c>
      <c r="U57" s="6">
        <f>SUM(426*0.15*0.1)</f>
        <v>6.390000000000001</v>
      </c>
      <c r="V57" s="6"/>
      <c r="W57" s="4"/>
      <c r="X57" s="4"/>
      <c r="Y57" s="6">
        <f>SUM(M57+T57+U57)</f>
        <v>70.44</v>
      </c>
      <c r="Z57" s="4"/>
      <c r="AA57" s="4"/>
      <c r="AJ57" s="4">
        <v>8</v>
      </c>
      <c r="AK57" s="6">
        <f>110*0.28</f>
        <v>30.800000000000004</v>
      </c>
      <c r="AL57" s="6">
        <f>180*0.015</f>
        <v>2.6999999999999997</v>
      </c>
      <c r="AQ57" s="6">
        <f>AK57+AL57</f>
        <v>33.50000000000001</v>
      </c>
      <c r="AR57" s="5">
        <f t="shared" si="7"/>
        <v>103.94</v>
      </c>
      <c r="AS57" s="5"/>
      <c r="AT57" s="5">
        <f t="shared" si="9"/>
        <v>103.94</v>
      </c>
      <c r="AU57" s="29">
        <v>53</v>
      </c>
    </row>
    <row r="58" spans="1:47" ht="15.75">
      <c r="A58" s="4">
        <v>54</v>
      </c>
      <c r="B58" s="4" t="s">
        <v>107</v>
      </c>
      <c r="C58" s="4" t="s">
        <v>67</v>
      </c>
      <c r="D58" s="4" t="s">
        <v>25</v>
      </c>
      <c r="E58" s="4" t="s">
        <v>62</v>
      </c>
      <c r="F58" s="4" t="s">
        <v>27</v>
      </c>
      <c r="G58" s="4" t="s">
        <v>68</v>
      </c>
      <c r="H58" s="4"/>
      <c r="I58" s="4"/>
      <c r="J58" s="4"/>
      <c r="K58" s="4"/>
      <c r="L58" s="4">
        <v>15</v>
      </c>
      <c r="M58" s="6">
        <f>SUM(311*0.1)</f>
        <v>31.1</v>
      </c>
      <c r="N58" s="4"/>
      <c r="O58" s="4"/>
      <c r="P58" s="4"/>
      <c r="Q58" s="4"/>
      <c r="R58" s="4"/>
      <c r="S58" s="4"/>
      <c r="T58" s="6">
        <f>SUM(426*0.25*0.3)</f>
        <v>31.95</v>
      </c>
      <c r="U58" s="6">
        <f>SUM(426*0.15*0.1)</f>
        <v>6.390000000000001</v>
      </c>
      <c r="V58" s="6"/>
      <c r="W58" s="4"/>
      <c r="X58" s="4"/>
      <c r="Y58" s="6">
        <f>SUM(M58+T58+U58)</f>
        <v>69.44</v>
      </c>
      <c r="Z58" s="4"/>
      <c r="AA58" s="4"/>
      <c r="AJ58" s="4">
        <v>5</v>
      </c>
      <c r="AK58" s="6">
        <f>140*0.2</f>
        <v>28</v>
      </c>
      <c r="AL58" s="6">
        <f>180*0.015</f>
        <v>2.6999999999999997</v>
      </c>
      <c r="AQ58" s="6">
        <f>AK58+AL58</f>
        <v>30.7</v>
      </c>
      <c r="AR58" s="5">
        <f t="shared" si="7"/>
        <v>100.14</v>
      </c>
      <c r="AS58" s="5"/>
      <c r="AT58" s="5">
        <f t="shared" si="9"/>
        <v>100.14</v>
      </c>
      <c r="AU58" s="29">
        <v>54</v>
      </c>
    </row>
    <row r="59" spans="13:45" s="19" customFormat="1" ht="15.75">
      <c r="M59" s="8"/>
      <c r="T59" s="8"/>
      <c r="U59" s="8"/>
      <c r="V59" s="8"/>
      <c r="Y59" s="8"/>
      <c r="AK59" s="8"/>
      <c r="AL59" s="8"/>
      <c r="AQ59" s="8"/>
      <c r="AR59" s="7"/>
      <c r="AS59" s="7"/>
    </row>
    <row r="60" spans="13:45" s="19" customFormat="1" ht="15.75">
      <c r="M60" s="8"/>
      <c r="T60" s="8"/>
      <c r="U60" s="8"/>
      <c r="V60" s="8"/>
      <c r="Y60" s="8"/>
      <c r="AK60" s="8"/>
      <c r="AL60" s="8"/>
      <c r="AQ60" s="8"/>
      <c r="AR60" s="7"/>
      <c r="AS60" s="7"/>
    </row>
    <row r="61" spans="20:46" s="19" customFormat="1" ht="15.75">
      <c r="T61" s="8"/>
      <c r="U61" s="8"/>
      <c r="V61" s="8"/>
      <c r="Y61" s="8"/>
      <c r="AM61" s="8"/>
      <c r="AN61" s="8"/>
      <c r="AQ61" s="8"/>
      <c r="AR61" s="7"/>
      <c r="AS61" s="7"/>
      <c r="AT61" s="8"/>
    </row>
    <row r="62" spans="21:46" s="19" customFormat="1" ht="15.75">
      <c r="U62" s="8"/>
      <c r="V62" s="8"/>
      <c r="W62" s="8"/>
      <c r="Y62" s="8"/>
      <c r="AM62" s="8"/>
      <c r="AN62" s="8"/>
      <c r="AQ62" s="8"/>
      <c r="AR62" s="7"/>
      <c r="AS62" s="7"/>
      <c r="AT62" s="8"/>
    </row>
    <row r="63" spans="20:46" s="19" customFormat="1" ht="15.75">
      <c r="T63" s="8"/>
      <c r="U63" s="8"/>
      <c r="V63" s="8"/>
      <c r="W63" s="8"/>
      <c r="Y63" s="8"/>
      <c r="AQ63" s="8"/>
      <c r="AR63" s="7"/>
      <c r="AS63" s="7"/>
      <c r="AT63" s="8"/>
    </row>
    <row r="64" spans="20:46" s="19" customFormat="1" ht="15.75">
      <c r="T64" s="8"/>
      <c r="U64" s="8"/>
      <c r="V64" s="8"/>
      <c r="W64" s="8"/>
      <c r="Y64" s="8"/>
      <c r="AM64" s="8"/>
      <c r="AN64" s="8"/>
      <c r="AQ64" s="8"/>
      <c r="AR64" s="7"/>
      <c r="AS64" s="7"/>
      <c r="AT64" s="8"/>
    </row>
    <row r="65" spans="20:46" s="19" customFormat="1" ht="15.75">
      <c r="T65" s="8"/>
      <c r="U65" s="8"/>
      <c r="V65" s="8"/>
      <c r="W65" s="8"/>
      <c r="Y65" s="8"/>
      <c r="AM65" s="8"/>
      <c r="AN65" s="8"/>
      <c r="AQ65" s="8"/>
      <c r="AR65" s="7"/>
      <c r="AS65" s="7"/>
      <c r="AT65" s="8"/>
    </row>
    <row r="66" spans="13:46" s="19" customFormat="1" ht="15.75">
      <c r="M66" s="8"/>
      <c r="T66" s="8"/>
      <c r="W66" s="8"/>
      <c r="Y66" s="8"/>
      <c r="AM66" s="8"/>
      <c r="AN66" s="8"/>
      <c r="AQ66" s="8"/>
      <c r="AR66" s="7"/>
      <c r="AS66" s="7"/>
      <c r="AT66" s="8"/>
    </row>
    <row r="67" spans="20:46" s="19" customFormat="1" ht="15.75">
      <c r="T67" s="8"/>
      <c r="U67" s="8"/>
      <c r="V67" s="8"/>
      <c r="W67" s="8"/>
      <c r="Y67" s="8"/>
      <c r="AM67" s="8"/>
      <c r="AN67" s="8"/>
      <c r="AQ67" s="8"/>
      <c r="AR67" s="7"/>
      <c r="AS67" s="7"/>
      <c r="AT67" s="8"/>
    </row>
    <row r="68" spans="20:46" s="19" customFormat="1" ht="15.75">
      <c r="T68" s="8"/>
      <c r="U68" s="8"/>
      <c r="V68" s="8"/>
      <c r="W68" s="8"/>
      <c r="Y68" s="8"/>
      <c r="AM68" s="8"/>
      <c r="AN68" s="8"/>
      <c r="AQ68" s="8"/>
      <c r="AR68" s="7"/>
      <c r="AS68" s="7"/>
      <c r="AT68" s="8"/>
    </row>
    <row r="69" spans="20:46" s="19" customFormat="1" ht="15.75">
      <c r="T69" s="8"/>
      <c r="U69" s="8"/>
      <c r="V69" s="8"/>
      <c r="W69" s="8"/>
      <c r="Y69" s="8"/>
      <c r="AO69" s="8"/>
      <c r="AQ69" s="8"/>
      <c r="AR69" s="7"/>
      <c r="AS69" s="7"/>
      <c r="AT69" s="8"/>
    </row>
    <row r="70" spans="20:46" s="19" customFormat="1" ht="15.75">
      <c r="T70" s="8"/>
      <c r="W70" s="8"/>
      <c r="Y70" s="8"/>
      <c r="AM70" s="8"/>
      <c r="AN70" s="8"/>
      <c r="AQ70" s="8"/>
      <c r="AR70" s="7"/>
      <c r="AS70" s="7"/>
      <c r="AT70" s="8"/>
    </row>
    <row r="71" spans="21:46" s="19" customFormat="1" ht="15.75">
      <c r="U71" s="8"/>
      <c r="V71" s="8"/>
      <c r="W71" s="8"/>
      <c r="Y71" s="8"/>
      <c r="AM71" s="8"/>
      <c r="AN71" s="8"/>
      <c r="AQ71" s="8"/>
      <c r="AR71" s="7"/>
      <c r="AS71" s="7"/>
      <c r="AT71" s="8"/>
    </row>
    <row r="72" spans="20:46" s="19" customFormat="1" ht="15.75">
      <c r="T72" s="8"/>
      <c r="W72" s="8"/>
      <c r="Y72" s="8"/>
      <c r="AM72" s="8"/>
      <c r="AN72" s="8"/>
      <c r="AO72" s="8"/>
      <c r="AQ72" s="8"/>
      <c r="AR72" s="7"/>
      <c r="AS72" s="7"/>
      <c r="AT72" s="8"/>
    </row>
    <row r="73" spans="20:46" s="19" customFormat="1" ht="15.75">
      <c r="T73" s="8"/>
      <c r="U73" s="8"/>
      <c r="V73" s="8"/>
      <c r="W73" s="8"/>
      <c r="Y73" s="8"/>
      <c r="AE73" s="8"/>
      <c r="AG73" s="8"/>
      <c r="AK73" s="8"/>
      <c r="AM73" s="8"/>
      <c r="AN73" s="8"/>
      <c r="AQ73" s="8"/>
      <c r="AR73" s="7"/>
      <c r="AS73" s="7"/>
      <c r="AT73" s="8"/>
    </row>
    <row r="74" spans="20:46" s="19" customFormat="1" ht="15.75">
      <c r="T74" s="8"/>
      <c r="U74" s="8"/>
      <c r="V74" s="8"/>
      <c r="Y74" s="8"/>
      <c r="AQ74" s="8"/>
      <c r="AR74" s="7"/>
      <c r="AS74" s="7"/>
      <c r="AT74" s="8"/>
    </row>
    <row r="75" spans="21:46" s="19" customFormat="1" ht="15.75">
      <c r="U75" s="8"/>
      <c r="V75" s="8"/>
      <c r="W75" s="8"/>
      <c r="Y75" s="8"/>
      <c r="AM75" s="8"/>
      <c r="AN75" s="8"/>
      <c r="AQ75" s="8"/>
      <c r="AR75" s="7"/>
      <c r="AS75" s="7"/>
      <c r="AT75" s="8"/>
    </row>
    <row r="76" s="19" customFormat="1" ht="15"/>
    <row r="77" spans="20:45" s="19" customFormat="1" ht="45" customHeight="1">
      <c r="T77" s="20"/>
      <c r="U77" s="20"/>
      <c r="V77" s="20"/>
      <c r="W77" s="20"/>
      <c r="Y77" s="8"/>
      <c r="AL77" s="21"/>
      <c r="AO77" s="20"/>
      <c r="AS77" s="22"/>
    </row>
    <row r="78" spans="13:46" s="19" customFormat="1" ht="17.25">
      <c r="M78" s="8"/>
      <c r="S78" s="8"/>
      <c r="T78" s="8"/>
      <c r="U78" s="8"/>
      <c r="V78" s="8"/>
      <c r="W78" s="8"/>
      <c r="X78" s="8"/>
      <c r="Y78" s="8"/>
      <c r="AL78" s="23"/>
      <c r="AQ78" s="8"/>
      <c r="AR78" s="7"/>
      <c r="AS78" s="7"/>
      <c r="AT78" s="24"/>
    </row>
    <row r="79" spans="21:46" s="19" customFormat="1" ht="17.25">
      <c r="U79" s="8"/>
      <c r="V79" s="8"/>
      <c r="W79" s="8"/>
      <c r="Y79" s="8"/>
      <c r="AQ79" s="8"/>
      <c r="AR79" s="7"/>
      <c r="AS79" s="7"/>
      <c r="AT79" s="24"/>
    </row>
    <row r="80" spans="21:46" s="19" customFormat="1" ht="17.25">
      <c r="U80" s="8"/>
      <c r="V80" s="8"/>
      <c r="W80" s="8"/>
      <c r="Y80" s="8"/>
      <c r="AE80" s="8"/>
      <c r="AG80" s="8"/>
      <c r="AQ80" s="8"/>
      <c r="AR80" s="7"/>
      <c r="AS80" s="7"/>
      <c r="AT80" s="24"/>
    </row>
    <row r="81" spans="15:46" s="19" customFormat="1" ht="17.25">
      <c r="O81" s="8"/>
      <c r="S81" s="8"/>
      <c r="T81" s="8"/>
      <c r="U81" s="8"/>
      <c r="V81" s="8"/>
      <c r="W81" s="8"/>
      <c r="X81" s="8"/>
      <c r="Y81" s="8"/>
      <c r="AC81" s="8"/>
      <c r="AL81" s="8"/>
      <c r="AO81" s="8"/>
      <c r="AQ81" s="8"/>
      <c r="AR81" s="7"/>
      <c r="AS81" s="8"/>
      <c r="AT81" s="24"/>
    </row>
    <row r="82" spans="20:46" s="19" customFormat="1" ht="17.25">
      <c r="T82" s="8"/>
      <c r="Y82" s="8"/>
      <c r="AA82" s="8"/>
      <c r="AQ82" s="8"/>
      <c r="AR82" s="7"/>
      <c r="AS82" s="8"/>
      <c r="AT82" s="24"/>
    </row>
    <row r="83" spans="19:46" s="19" customFormat="1" ht="17.25">
      <c r="S83" s="8"/>
      <c r="U83" s="8"/>
      <c r="V83" s="8"/>
      <c r="W83" s="8"/>
      <c r="X83" s="8"/>
      <c r="Y83" s="8"/>
      <c r="AA83" s="8"/>
      <c r="AC83" s="8"/>
      <c r="AL83" s="8"/>
      <c r="AQ83" s="8"/>
      <c r="AR83" s="7"/>
      <c r="AS83" s="7"/>
      <c r="AT83" s="24"/>
    </row>
    <row r="84" spans="13:46" s="19" customFormat="1" ht="17.25">
      <c r="M84" s="8"/>
      <c r="W84" s="8"/>
      <c r="Y84" s="8"/>
      <c r="AC84" s="8"/>
      <c r="AL84" s="8"/>
      <c r="AQ84" s="8"/>
      <c r="AR84" s="7"/>
      <c r="AS84" s="7"/>
      <c r="AT84" s="24"/>
    </row>
    <row r="85" spans="20:46" s="19" customFormat="1" ht="17.25">
      <c r="T85" s="8"/>
      <c r="U85" s="8"/>
      <c r="V85" s="8"/>
      <c r="W85" s="8"/>
      <c r="Y85" s="8"/>
      <c r="AA85" s="8"/>
      <c r="AQ85" s="8"/>
      <c r="AR85" s="7"/>
      <c r="AS85" s="7"/>
      <c r="AT85" s="24"/>
    </row>
    <row r="86" spans="20:46" s="19" customFormat="1" ht="17.25">
      <c r="T86" s="8"/>
      <c r="U86" s="8"/>
      <c r="V86" s="8"/>
      <c r="W86" s="8"/>
      <c r="Y86" s="8"/>
      <c r="AC86" s="8"/>
      <c r="AL86" s="8"/>
      <c r="AO86" s="8"/>
      <c r="AQ86" s="8"/>
      <c r="AR86" s="7"/>
      <c r="AS86" s="7"/>
      <c r="AT86" s="24"/>
    </row>
    <row r="87" spans="21:46" s="19" customFormat="1" ht="17.25">
      <c r="U87" s="8"/>
      <c r="V87" s="8"/>
      <c r="W87" s="8"/>
      <c r="Y87" s="8"/>
      <c r="AQ87" s="8"/>
      <c r="AR87" s="7"/>
      <c r="AS87" s="8"/>
      <c r="AT87" s="24"/>
    </row>
    <row r="88" spans="21:46" s="19" customFormat="1" ht="17.25">
      <c r="U88" s="8"/>
      <c r="V88" s="8"/>
      <c r="W88" s="8"/>
      <c r="Y88" s="8"/>
      <c r="AQ88" s="8"/>
      <c r="AR88" s="7"/>
      <c r="AS88" s="7"/>
      <c r="AT88" s="24"/>
    </row>
    <row r="89" spans="13:46" s="19" customFormat="1" ht="17.25">
      <c r="M89" s="8"/>
      <c r="T89" s="8"/>
      <c r="U89" s="8"/>
      <c r="V89" s="8"/>
      <c r="W89" s="8"/>
      <c r="Y89" s="8"/>
      <c r="AE89" s="8"/>
      <c r="AG89" s="8"/>
      <c r="AK89" s="8"/>
      <c r="AQ89" s="8"/>
      <c r="AR89" s="7"/>
      <c r="AS89" s="7"/>
      <c r="AT89" s="24"/>
    </row>
    <row r="90" spans="13:46" s="19" customFormat="1" ht="17.25">
      <c r="M90" s="8"/>
      <c r="U90" s="8"/>
      <c r="V90" s="8"/>
      <c r="W90" s="8"/>
      <c r="Y90" s="8"/>
      <c r="AQ90" s="8"/>
      <c r="AR90" s="7"/>
      <c r="AS90" s="7"/>
      <c r="AT90" s="24"/>
    </row>
    <row r="91" spans="13:46" s="19" customFormat="1" ht="17.25">
      <c r="M91" s="8"/>
      <c r="T91" s="8"/>
      <c r="U91" s="8"/>
      <c r="V91" s="8"/>
      <c r="W91" s="8"/>
      <c r="Y91" s="8"/>
      <c r="AK91" s="8"/>
      <c r="AQ91" s="8"/>
      <c r="AR91" s="7"/>
      <c r="AS91" s="8"/>
      <c r="AT91" s="24"/>
    </row>
    <row r="92" spans="21:46" s="19" customFormat="1" ht="17.25">
      <c r="U92" s="8"/>
      <c r="V92" s="8"/>
      <c r="W92" s="8"/>
      <c r="Y92" s="8"/>
      <c r="AQ92" s="8"/>
      <c r="AR92" s="7"/>
      <c r="AS92" s="7"/>
      <c r="AT92" s="24"/>
    </row>
    <row r="93" spans="13:46" s="19" customFormat="1" ht="17.25">
      <c r="M93" s="8"/>
      <c r="S93" s="8"/>
      <c r="U93" s="8"/>
      <c r="V93" s="8"/>
      <c r="W93" s="8"/>
      <c r="X93" s="8"/>
      <c r="Y93" s="8"/>
      <c r="AQ93" s="8"/>
      <c r="AR93" s="7"/>
      <c r="AS93" s="8"/>
      <c r="AT93" s="24"/>
    </row>
    <row r="94" spans="13:46" s="19" customFormat="1" ht="17.25">
      <c r="M94" s="8"/>
      <c r="S94" s="8"/>
      <c r="U94" s="8"/>
      <c r="V94" s="8"/>
      <c r="W94" s="8"/>
      <c r="X94" s="8"/>
      <c r="Y94" s="8"/>
      <c r="AQ94" s="8"/>
      <c r="AT94" s="24"/>
    </row>
    <row r="95" spans="13:46" s="19" customFormat="1" ht="17.25">
      <c r="M95" s="8"/>
      <c r="S95" s="8"/>
      <c r="U95" s="8"/>
      <c r="V95" s="8"/>
      <c r="W95" s="8"/>
      <c r="X95" s="8"/>
      <c r="Y95" s="8"/>
      <c r="AQ95" s="8"/>
      <c r="AR95" s="7"/>
      <c r="AS95" s="8"/>
      <c r="AT95" s="24"/>
    </row>
    <row r="96" spans="20:46" s="19" customFormat="1" ht="17.25">
      <c r="T96" s="8"/>
      <c r="Y96" s="8"/>
      <c r="AK96" s="8"/>
      <c r="AQ96" s="8"/>
      <c r="AR96" s="7"/>
      <c r="AS96" s="7"/>
      <c r="AT96" s="24"/>
    </row>
    <row r="97" spans="9:46" s="19" customFormat="1" ht="17.25">
      <c r="I97" s="8"/>
      <c r="J97" s="8"/>
      <c r="K97" s="8"/>
      <c r="U97" s="8"/>
      <c r="V97" s="8"/>
      <c r="W97" s="8"/>
      <c r="Y97" s="8"/>
      <c r="AQ97" s="8"/>
      <c r="AR97" s="7"/>
      <c r="AS97" s="7"/>
      <c r="AT97" s="24"/>
    </row>
    <row r="98" spans="9:46" s="19" customFormat="1" ht="17.25">
      <c r="I98" s="8"/>
      <c r="J98" s="8"/>
      <c r="K98" s="8"/>
      <c r="U98" s="8"/>
      <c r="V98" s="8"/>
      <c r="W98" s="8"/>
      <c r="Y98" s="8"/>
      <c r="AQ98" s="8"/>
      <c r="AR98" s="7"/>
      <c r="AS98" s="8"/>
      <c r="AT98" s="24"/>
    </row>
    <row r="99" s="19" customFormat="1" ht="15"/>
    <row r="100" spans="38:45" s="19" customFormat="1" ht="15">
      <c r="AL100" s="20"/>
      <c r="AM100" s="20"/>
      <c r="AN100" s="20"/>
      <c r="AS100" s="25"/>
    </row>
    <row r="101" spans="9:45" s="19" customFormat="1" ht="15.75">
      <c r="I101" s="8"/>
      <c r="J101" s="8"/>
      <c r="K101" s="8"/>
      <c r="M101" s="8"/>
      <c r="O101" s="8"/>
      <c r="Y101" s="8"/>
      <c r="AL101" s="8"/>
      <c r="AM101" s="8"/>
      <c r="AN101" s="8"/>
      <c r="AQ101" s="8"/>
      <c r="AR101" s="7"/>
      <c r="AS101" s="7"/>
    </row>
    <row r="102" spans="25:45" s="19" customFormat="1" ht="15.75">
      <c r="Y102" s="8"/>
      <c r="AK102" s="8"/>
      <c r="AL102" s="8"/>
      <c r="AM102" s="8"/>
      <c r="AN102" s="8"/>
      <c r="AQ102" s="8"/>
      <c r="AR102" s="7"/>
      <c r="AS102" s="7"/>
    </row>
    <row r="103" spans="25:45" s="19" customFormat="1" ht="15.75">
      <c r="Y103" s="8"/>
      <c r="AL103" s="8"/>
      <c r="AM103" s="8"/>
      <c r="AN103" s="8"/>
      <c r="AQ103" s="8"/>
      <c r="AR103" s="7"/>
      <c r="AS103" s="7"/>
    </row>
    <row r="104" spans="13:45" s="19" customFormat="1" ht="15.75">
      <c r="M104" s="8"/>
      <c r="Y104" s="8"/>
      <c r="AL104" s="8"/>
      <c r="AM104" s="8"/>
      <c r="AN104" s="8"/>
      <c r="AQ104" s="8"/>
      <c r="AR104" s="7"/>
      <c r="AS104" s="7"/>
    </row>
    <row r="105" spans="13:45" s="19" customFormat="1" ht="15.75">
      <c r="M105" s="8"/>
      <c r="Y105" s="8"/>
      <c r="AK105" s="8"/>
      <c r="AL105" s="8"/>
      <c r="AM105" s="8"/>
      <c r="AN105" s="8"/>
      <c r="AQ105" s="8"/>
      <c r="AR105" s="7"/>
      <c r="AS105" s="7"/>
    </row>
    <row r="106" s="19" customFormat="1" ht="15"/>
    <row r="107" s="19" customFormat="1" ht="15">
      <c r="AS107" s="25"/>
    </row>
    <row r="108" spans="25:45" s="19" customFormat="1" ht="15.75">
      <c r="Y108" s="8"/>
      <c r="AQ108" s="8"/>
      <c r="AR108" s="7"/>
      <c r="AS108" s="7"/>
    </row>
    <row r="109" spans="9:45" s="19" customFormat="1" ht="15.75">
      <c r="I109" s="8"/>
      <c r="J109" s="8"/>
      <c r="K109" s="8"/>
      <c r="O109" s="8"/>
      <c r="Y109" s="8"/>
      <c r="AQ109" s="8"/>
      <c r="AR109" s="7"/>
      <c r="AS109" s="7"/>
    </row>
    <row r="110" spans="25:45" s="19" customFormat="1" ht="15.75">
      <c r="Y110" s="8"/>
      <c r="AQ110" s="8"/>
      <c r="AR110" s="7"/>
      <c r="AS110" s="7"/>
    </row>
    <row r="111" spans="25:45" s="19" customFormat="1" ht="15.75">
      <c r="Y111" s="8"/>
      <c r="AQ111" s="8"/>
      <c r="AR111" s="7"/>
      <c r="AS111" s="7"/>
    </row>
    <row r="112" spans="9:45" s="19" customFormat="1" ht="15.75">
      <c r="I112" s="8"/>
      <c r="J112" s="8"/>
      <c r="K112" s="8"/>
      <c r="S112" s="8"/>
      <c r="T112" s="8"/>
      <c r="U112" s="8"/>
      <c r="V112" s="8"/>
      <c r="W112" s="8"/>
      <c r="X112" s="8"/>
      <c r="Y112" s="8"/>
      <c r="AQ112" s="8"/>
      <c r="AR112" s="7"/>
      <c r="AS112" s="7"/>
    </row>
    <row r="113" spans="9:45" s="19" customFormat="1" ht="15.75">
      <c r="I113" s="8"/>
      <c r="J113" s="8"/>
      <c r="K113" s="8"/>
      <c r="Y113" s="8"/>
      <c r="AQ113" s="8"/>
      <c r="AR113" s="7"/>
      <c r="AS113" s="7"/>
    </row>
    <row r="114" spans="25:45" s="19" customFormat="1" ht="15.75">
      <c r="Y114" s="8"/>
      <c r="AQ114" s="8"/>
      <c r="AR114" s="7"/>
      <c r="AS114" s="7"/>
    </row>
    <row r="115" spans="25:45" s="19" customFormat="1" ht="15.75">
      <c r="Y115" s="8"/>
      <c r="AQ115" s="8"/>
      <c r="AR115" s="7"/>
      <c r="AS115" s="7"/>
    </row>
    <row r="116" spans="25:45" s="19" customFormat="1" ht="15.75">
      <c r="Y116" s="8"/>
      <c r="AQ116" s="8"/>
      <c r="AR116" s="7"/>
      <c r="AS116" s="7"/>
    </row>
    <row r="117" spans="9:45" s="19" customFormat="1" ht="15.75">
      <c r="I117" s="8"/>
      <c r="J117" s="8"/>
      <c r="K117" s="8"/>
      <c r="O117" s="8"/>
      <c r="Y117" s="8"/>
      <c r="AQ117" s="8"/>
      <c r="AR117" s="7"/>
      <c r="AS117" s="7"/>
    </row>
    <row r="118" spans="25:45" s="19" customFormat="1" ht="15.75">
      <c r="Y118" s="8"/>
      <c r="AQ118" s="8"/>
      <c r="AR118" s="7"/>
      <c r="AS118" s="7"/>
    </row>
    <row r="119" spans="25:45" s="19" customFormat="1" ht="15.75">
      <c r="Y119" s="8"/>
      <c r="AQ119" s="8"/>
      <c r="AR119" s="7"/>
      <c r="AS119" s="7"/>
    </row>
    <row r="120" s="19" customFormat="1" ht="15"/>
    <row r="121" spans="20:40" s="19" customFormat="1" ht="15">
      <c r="T121" s="20"/>
      <c r="U121" s="26"/>
      <c r="V121" s="26"/>
      <c r="AL121" s="20"/>
      <c r="AM121" s="20"/>
      <c r="AN121" s="20"/>
    </row>
    <row r="122" spans="25:45" s="19" customFormat="1" ht="15.75">
      <c r="Y122" s="8"/>
      <c r="AL122" s="8"/>
      <c r="AM122" s="8"/>
      <c r="AN122" s="8"/>
      <c r="AQ122" s="8"/>
      <c r="AR122" s="7"/>
      <c r="AS122" s="7"/>
    </row>
    <row r="123" spans="20:45" s="19" customFormat="1" ht="15.75">
      <c r="T123" s="8"/>
      <c r="U123" s="8"/>
      <c r="V123" s="8"/>
      <c r="Y123" s="8"/>
      <c r="AL123" s="8"/>
      <c r="AM123" s="8"/>
      <c r="AN123" s="8"/>
      <c r="AQ123" s="8"/>
      <c r="AR123" s="7"/>
      <c r="AS123" s="7"/>
    </row>
    <row r="124" spans="13:45" s="19" customFormat="1" ht="15.75">
      <c r="M124" s="8"/>
      <c r="T124" s="8"/>
      <c r="U124" s="8"/>
      <c r="V124" s="8"/>
      <c r="Y124" s="8"/>
      <c r="AL124" s="8"/>
      <c r="AM124" s="8"/>
      <c r="AN124" s="8"/>
      <c r="AQ124" s="8"/>
      <c r="AR124" s="7"/>
      <c r="AS124" s="7"/>
    </row>
    <row r="125" spans="20:45" s="19" customFormat="1" ht="15.75">
      <c r="T125" s="8"/>
      <c r="U125" s="8"/>
      <c r="V125" s="8"/>
      <c r="Y125" s="8"/>
      <c r="AL125" s="8"/>
      <c r="AM125" s="8"/>
      <c r="AN125" s="8"/>
      <c r="AQ125" s="8"/>
      <c r="AR125" s="7"/>
      <c r="AS125" s="7"/>
    </row>
    <row r="126" spans="15:45" s="19" customFormat="1" ht="15.75">
      <c r="O126" s="8"/>
      <c r="S126" s="8"/>
      <c r="T126" s="8"/>
      <c r="U126" s="8"/>
      <c r="V126" s="8"/>
      <c r="W126" s="8"/>
      <c r="X126" s="8"/>
      <c r="Y126" s="8"/>
      <c r="AC126" s="8"/>
      <c r="AL126" s="8"/>
      <c r="AM126" s="8"/>
      <c r="AN126" s="8"/>
      <c r="AQ126" s="8"/>
      <c r="AR126" s="7"/>
      <c r="AS126" s="7"/>
    </row>
    <row r="127" spans="15:45" s="19" customFormat="1" ht="15.75">
      <c r="O127" s="8"/>
      <c r="S127" s="8"/>
      <c r="T127" s="8"/>
      <c r="U127" s="8"/>
      <c r="V127" s="8"/>
      <c r="W127" s="8"/>
      <c r="X127" s="8"/>
      <c r="Y127" s="8"/>
      <c r="AC127" s="8"/>
      <c r="AL127" s="8"/>
      <c r="AM127" s="8"/>
      <c r="AN127" s="8"/>
      <c r="AQ127" s="8"/>
      <c r="AR127" s="7"/>
      <c r="AS127" s="7"/>
    </row>
    <row r="128" spans="15:45" s="19" customFormat="1" ht="15.75">
      <c r="O128" s="8"/>
      <c r="S128" s="8"/>
      <c r="T128" s="8"/>
      <c r="U128" s="8"/>
      <c r="V128" s="8"/>
      <c r="W128" s="8"/>
      <c r="X128" s="8"/>
      <c r="Y128" s="8"/>
      <c r="AC128" s="8"/>
      <c r="AL128" s="8"/>
      <c r="AM128" s="8"/>
      <c r="AN128" s="8"/>
      <c r="AQ128" s="8"/>
      <c r="AR128" s="7"/>
      <c r="AS128" s="7"/>
    </row>
    <row r="129" spans="20:45" s="19" customFormat="1" ht="15.75">
      <c r="T129" s="8"/>
      <c r="U129" s="8"/>
      <c r="Y129" s="8"/>
      <c r="AL129" s="8"/>
      <c r="AM129" s="8"/>
      <c r="AN129" s="8"/>
      <c r="AQ129" s="8"/>
      <c r="AR129" s="7"/>
      <c r="AS129" s="7"/>
    </row>
    <row r="130" spans="20:45" s="19" customFormat="1" ht="15.75">
      <c r="T130" s="8"/>
      <c r="U130" s="8"/>
      <c r="V130" s="8"/>
      <c r="Y130" s="8"/>
      <c r="AL130" s="8"/>
      <c r="AM130" s="8"/>
      <c r="AN130" s="8"/>
      <c r="AQ130" s="8"/>
      <c r="AR130" s="7"/>
      <c r="AS130" s="7"/>
    </row>
    <row r="131" spans="20:45" s="19" customFormat="1" ht="15.75">
      <c r="T131" s="8"/>
      <c r="U131" s="8"/>
      <c r="V131" s="8"/>
      <c r="Y131" s="8"/>
      <c r="AL131" s="8"/>
      <c r="AM131" s="8"/>
      <c r="AN131" s="8"/>
      <c r="AQ131" s="8"/>
      <c r="AR131" s="7"/>
      <c r="AS131" s="7"/>
    </row>
    <row r="132" spans="20:45" s="19" customFormat="1" ht="15.75">
      <c r="T132" s="8"/>
      <c r="Y132" s="8"/>
      <c r="AL132" s="8"/>
      <c r="AM132" s="8"/>
      <c r="AN132" s="8"/>
      <c r="AQ132" s="8"/>
      <c r="AR132" s="7"/>
      <c r="AS132" s="7"/>
    </row>
    <row r="133" spans="20:45" s="19" customFormat="1" ht="15.75">
      <c r="T133" s="8"/>
      <c r="U133" s="8"/>
      <c r="V133" s="8"/>
      <c r="Y133" s="8"/>
      <c r="AC133" s="8"/>
      <c r="AL133" s="8"/>
      <c r="AM133" s="8"/>
      <c r="AN133" s="8"/>
      <c r="AQ133" s="8"/>
      <c r="AR133" s="7"/>
      <c r="AS133" s="7"/>
    </row>
    <row r="134" spans="20:45" s="19" customFormat="1" ht="15.75">
      <c r="T134" s="8"/>
      <c r="U134" s="8"/>
      <c r="V134" s="8"/>
      <c r="Y134" s="8"/>
      <c r="AL134" s="8"/>
      <c r="AM134" s="8"/>
      <c r="AN134" s="8"/>
      <c r="AQ134" s="8"/>
      <c r="AR134" s="7"/>
      <c r="AS134" s="7"/>
    </row>
    <row r="135" spans="20:45" s="19" customFormat="1" ht="15.75">
      <c r="T135" s="8"/>
      <c r="U135" s="8"/>
      <c r="V135" s="8"/>
      <c r="Y135" s="8"/>
      <c r="AL135" s="8"/>
      <c r="AM135" s="8"/>
      <c r="AN135" s="8"/>
      <c r="AQ135" s="8"/>
      <c r="AR135" s="7"/>
      <c r="AS135" s="7"/>
    </row>
    <row r="136" spans="20:45" s="19" customFormat="1" ht="15.75">
      <c r="T136" s="8"/>
      <c r="U136" s="8"/>
      <c r="V136" s="8"/>
      <c r="Y136" s="8"/>
      <c r="AC136" s="8"/>
      <c r="AL136" s="8"/>
      <c r="AM136" s="8"/>
      <c r="AN136" s="8"/>
      <c r="AQ136" s="8"/>
      <c r="AR136" s="7"/>
      <c r="AS136" s="7"/>
    </row>
    <row r="137" spans="20:45" s="19" customFormat="1" ht="15.75">
      <c r="T137" s="8"/>
      <c r="U137" s="8"/>
      <c r="V137" s="8"/>
      <c r="Y137" s="8"/>
      <c r="AC137" s="8"/>
      <c r="AL137" s="8"/>
      <c r="AM137" s="8"/>
      <c r="AN137" s="8"/>
      <c r="AQ137" s="8"/>
      <c r="AR137" s="7"/>
      <c r="AS137" s="7"/>
    </row>
    <row r="138" spans="20:45" s="19" customFormat="1" ht="15.75">
      <c r="T138" s="8"/>
      <c r="U138" s="8"/>
      <c r="V138" s="8"/>
      <c r="Y138" s="8"/>
      <c r="AA138" s="8"/>
      <c r="AL138" s="8"/>
      <c r="AM138" s="8"/>
      <c r="AN138" s="8"/>
      <c r="AQ138" s="8"/>
      <c r="AR138" s="7"/>
      <c r="AS138" s="7"/>
    </row>
    <row r="139" spans="19:45" s="19" customFormat="1" ht="15.75">
      <c r="S139" s="8"/>
      <c r="T139" s="8"/>
      <c r="U139" s="8"/>
      <c r="V139" s="8"/>
      <c r="W139" s="8"/>
      <c r="X139" s="8"/>
      <c r="Y139" s="8"/>
      <c r="AL139" s="8"/>
      <c r="AM139" s="8"/>
      <c r="AN139" s="8"/>
      <c r="AQ139" s="8"/>
      <c r="AR139" s="7"/>
      <c r="AS139" s="7"/>
    </row>
    <row r="140" spans="20:45" s="19" customFormat="1" ht="15.75">
      <c r="T140" s="8"/>
      <c r="V140" s="8"/>
      <c r="Y140" s="8"/>
      <c r="AL140" s="8"/>
      <c r="AM140" s="8"/>
      <c r="AN140" s="8"/>
      <c r="AQ140" s="8"/>
      <c r="AR140" s="7"/>
      <c r="AS140" s="7"/>
    </row>
    <row r="141" spans="20:45" s="19" customFormat="1" ht="15.75">
      <c r="T141" s="8"/>
      <c r="U141" s="8"/>
      <c r="Y141" s="8"/>
      <c r="AA141" s="8"/>
      <c r="AL141" s="8"/>
      <c r="AM141" s="8"/>
      <c r="AN141" s="8"/>
      <c r="AQ141" s="8"/>
      <c r="AR141" s="7"/>
      <c r="AS141" s="7"/>
    </row>
    <row r="142" spans="20:45" s="19" customFormat="1" ht="15.75">
      <c r="T142" s="8"/>
      <c r="U142" s="8"/>
      <c r="V142" s="8"/>
      <c r="Y142" s="8"/>
      <c r="AL142" s="8"/>
      <c r="AM142" s="8"/>
      <c r="AN142" s="8"/>
      <c r="AQ142" s="8"/>
      <c r="AR142" s="7"/>
      <c r="AS142" s="7"/>
    </row>
    <row r="143" s="19" customFormat="1" ht="15">
      <c r="Y143" s="8"/>
    </row>
    <row r="144" s="19" customFormat="1" ht="15"/>
    <row r="145" s="19" customFormat="1" ht="15"/>
    <row r="146" spans="20:22" s="19" customFormat="1" ht="15">
      <c r="T146" s="20"/>
      <c r="U146" s="20"/>
      <c r="V146" s="20"/>
    </row>
    <row r="147" spans="20:45" s="19" customFormat="1" ht="15.75">
      <c r="T147" s="8"/>
      <c r="U147" s="8"/>
      <c r="V147" s="8"/>
      <c r="Y147" s="8"/>
      <c r="AQ147" s="8"/>
      <c r="AR147" s="7"/>
      <c r="AS147" s="7"/>
    </row>
    <row r="148" spans="20:45" s="19" customFormat="1" ht="15.75">
      <c r="T148" s="8"/>
      <c r="U148" s="8"/>
      <c r="V148" s="8"/>
      <c r="Y148" s="8"/>
      <c r="AQ148" s="8"/>
      <c r="AR148" s="7"/>
      <c r="AS148" s="7"/>
    </row>
    <row r="149" spans="20:45" s="19" customFormat="1" ht="15.75">
      <c r="T149" s="8"/>
      <c r="U149" s="8"/>
      <c r="V149" s="8"/>
      <c r="Y149" s="8"/>
      <c r="AE149" s="8"/>
      <c r="AG149" s="8"/>
      <c r="AQ149" s="8"/>
      <c r="AR149" s="7"/>
      <c r="AS149" s="7"/>
    </row>
    <row r="150" spans="20:45" s="19" customFormat="1" ht="15.75">
      <c r="T150" s="8"/>
      <c r="U150" s="8"/>
      <c r="V150" s="8"/>
      <c r="Y150" s="8"/>
      <c r="AQ150" s="8"/>
      <c r="AR150" s="7"/>
      <c r="AS150" s="7"/>
    </row>
    <row r="151" spans="20:45" s="19" customFormat="1" ht="15.75">
      <c r="T151" s="8"/>
      <c r="U151" s="8"/>
      <c r="V151" s="8"/>
      <c r="Y151" s="8"/>
      <c r="AK151" s="8"/>
      <c r="AQ151" s="8"/>
      <c r="AR151" s="7"/>
      <c r="AS151" s="7"/>
    </row>
    <row r="152" s="19" customFormat="1" ht="15">
      <c r="T152" s="8"/>
    </row>
    <row r="153" spans="13:45" s="19" customFormat="1" ht="15.75">
      <c r="M153" s="8"/>
      <c r="O153" s="8"/>
      <c r="T153" s="8"/>
      <c r="Y153" s="8"/>
      <c r="AC153" s="8"/>
      <c r="AQ153" s="8"/>
      <c r="AR153" s="7"/>
      <c r="AS153" s="7"/>
    </row>
    <row r="154" spans="13:45" s="19" customFormat="1" ht="15.75">
      <c r="M154" s="8"/>
      <c r="O154" s="8"/>
      <c r="T154" s="8"/>
      <c r="Y154" s="8"/>
      <c r="AC154" s="8"/>
      <c r="AQ154" s="8"/>
      <c r="AR154" s="7"/>
      <c r="AS154" s="7"/>
    </row>
    <row r="155" s="19" customFormat="1" ht="15"/>
    <row r="156" spans="23:45" s="19" customFormat="1" ht="15">
      <c r="W156" s="20"/>
      <c r="AL156" s="25"/>
      <c r="AS156" s="25"/>
    </row>
    <row r="157" spans="23:45" s="19" customFormat="1" ht="15.75">
      <c r="W157" s="8"/>
      <c r="Y157" s="8"/>
      <c r="AL157" s="8"/>
      <c r="AQ157" s="8"/>
      <c r="AR157" s="7"/>
      <c r="AS157" s="7"/>
    </row>
    <row r="158" spans="23:45" s="19" customFormat="1" ht="15.75">
      <c r="W158" s="8"/>
      <c r="Y158" s="8"/>
      <c r="AL158" s="8"/>
      <c r="AQ158" s="8"/>
      <c r="AR158" s="7"/>
      <c r="AS158" s="7"/>
    </row>
    <row r="159" spans="23:45" s="19" customFormat="1" ht="15.75">
      <c r="W159" s="8"/>
      <c r="Y159" s="8"/>
      <c r="AL159" s="8"/>
      <c r="AQ159" s="8"/>
      <c r="AR159" s="7"/>
      <c r="AS159" s="7"/>
    </row>
    <row r="160" spans="23:45" s="19" customFormat="1" ht="15.75">
      <c r="W160" s="8"/>
      <c r="Y160" s="8"/>
      <c r="AL160" s="8"/>
      <c r="AQ160" s="8"/>
      <c r="AR160" s="7"/>
      <c r="AS160" s="7"/>
    </row>
    <row r="161" spans="23:45" s="19" customFormat="1" ht="15.75">
      <c r="W161" s="8"/>
      <c r="Y161" s="8"/>
      <c r="AL161" s="8"/>
      <c r="AQ161" s="8"/>
      <c r="AR161" s="7"/>
      <c r="AS161" s="7"/>
    </row>
    <row r="162" spans="23:45" s="19" customFormat="1" ht="15.75">
      <c r="W162" s="8"/>
      <c r="Y162" s="8"/>
      <c r="AL162" s="8"/>
      <c r="AQ162" s="8"/>
      <c r="AR162" s="7"/>
      <c r="AS162" s="7"/>
    </row>
    <row r="163" spans="23:45" s="19" customFormat="1" ht="15.75">
      <c r="W163" s="8"/>
      <c r="Y163" s="8"/>
      <c r="AL163" s="8"/>
      <c r="AQ163" s="8"/>
      <c r="AR163" s="7"/>
      <c r="AS163" s="7"/>
    </row>
    <row r="164" spans="23:45" s="19" customFormat="1" ht="15.75">
      <c r="W164" s="8"/>
      <c r="Y164" s="8"/>
      <c r="AL164" s="8"/>
      <c r="AQ164" s="8"/>
      <c r="AR164" s="7"/>
      <c r="AS164" s="7"/>
    </row>
    <row r="165" spans="23:45" s="19" customFormat="1" ht="15.75">
      <c r="W165" s="8"/>
      <c r="Y165" s="8"/>
      <c r="AL165" s="8"/>
      <c r="AQ165" s="8"/>
      <c r="AR165" s="7"/>
      <c r="AS165" s="7"/>
    </row>
    <row r="166" spans="23:45" s="19" customFormat="1" ht="15.75">
      <c r="W166" s="8"/>
      <c r="Y166" s="8"/>
      <c r="AL166" s="8"/>
      <c r="AQ166" s="8"/>
      <c r="AR166" s="7"/>
      <c r="AS166" s="7"/>
    </row>
    <row r="167" spans="23:45" s="19" customFormat="1" ht="15.75">
      <c r="W167" s="8"/>
      <c r="Y167" s="8"/>
      <c r="AL167" s="8"/>
      <c r="AQ167" s="8"/>
      <c r="AR167" s="7"/>
      <c r="AS167" s="7"/>
    </row>
    <row r="168" spans="23:45" s="19" customFormat="1" ht="15.75">
      <c r="W168" s="8"/>
      <c r="Y168" s="8"/>
      <c r="AL168" s="8"/>
      <c r="AQ168" s="8"/>
      <c r="AR168" s="7"/>
      <c r="AS168" s="7"/>
    </row>
    <row r="169" spans="23:45" s="19" customFormat="1" ht="15.75">
      <c r="W169" s="8"/>
      <c r="Y169" s="8"/>
      <c r="AL169" s="8"/>
      <c r="AQ169" s="8"/>
      <c r="AR169" s="7"/>
      <c r="AS169" s="7"/>
    </row>
    <row r="170" spans="23:45" s="19" customFormat="1" ht="15.75">
      <c r="W170" s="8"/>
      <c r="Y170" s="8"/>
      <c r="AL170" s="8"/>
      <c r="AQ170" s="8"/>
      <c r="AR170" s="7"/>
      <c r="AS170" s="7"/>
    </row>
    <row r="171" spans="23:45" s="19" customFormat="1" ht="15.75">
      <c r="W171" s="8"/>
      <c r="Y171" s="8"/>
      <c r="AL171" s="8"/>
      <c r="AQ171" s="8"/>
      <c r="AR171" s="7"/>
      <c r="AS171" s="7"/>
    </row>
    <row r="172" spans="23:45" s="19" customFormat="1" ht="15.75">
      <c r="W172" s="8"/>
      <c r="Y172" s="8"/>
      <c r="AL172" s="8"/>
      <c r="AQ172" s="8"/>
      <c r="AR172" s="7"/>
      <c r="AS172" s="7"/>
    </row>
    <row r="173" spans="23:45" s="19" customFormat="1" ht="15.75">
      <c r="W173" s="8"/>
      <c r="Y173" s="8"/>
      <c r="AL173" s="8"/>
      <c r="AQ173" s="8"/>
      <c r="AR173" s="7"/>
      <c r="AS173" s="7"/>
    </row>
    <row r="174" spans="23:45" s="19" customFormat="1" ht="15.75">
      <c r="W174" s="8"/>
      <c r="Y174" s="8"/>
      <c r="AL174" s="8"/>
      <c r="AQ174" s="8"/>
      <c r="AR174" s="7"/>
      <c r="AS174" s="7"/>
    </row>
    <row r="175" spans="38:45" s="19" customFormat="1" ht="15.75">
      <c r="AL175" s="8"/>
      <c r="AR175" s="7"/>
      <c r="AS175" s="7"/>
    </row>
    <row r="176" spans="19:45" s="19" customFormat="1" ht="15.75">
      <c r="S176" s="8"/>
      <c r="T176" s="8"/>
      <c r="U176" s="8"/>
      <c r="V176" s="8"/>
      <c r="W176" s="8"/>
      <c r="X176" s="8"/>
      <c r="Y176" s="8"/>
      <c r="AL176" s="8"/>
      <c r="AQ176" s="8"/>
      <c r="AR176" s="7"/>
      <c r="AS176" s="7"/>
    </row>
    <row r="177" spans="19:45" s="19" customFormat="1" ht="15.75">
      <c r="S177" s="8"/>
      <c r="T177" s="8"/>
      <c r="U177" s="8"/>
      <c r="V177" s="8"/>
      <c r="W177" s="8"/>
      <c r="X177" s="8"/>
      <c r="Y177" s="8"/>
      <c r="AC177" s="8"/>
      <c r="AL177" s="8"/>
      <c r="AQ177" s="8"/>
      <c r="AR177" s="7"/>
      <c r="AS177" s="7"/>
    </row>
    <row r="178" spans="9:45" s="19" customFormat="1" ht="15.75">
      <c r="I178" s="8"/>
      <c r="J178" s="8"/>
      <c r="K178" s="8"/>
      <c r="Y178" s="8"/>
      <c r="AC178" s="8"/>
      <c r="AL178" s="8"/>
      <c r="AQ178" s="8"/>
      <c r="AR178" s="7"/>
      <c r="AS178" s="7"/>
    </row>
    <row r="179" spans="9:45" s="19" customFormat="1" ht="15.75">
      <c r="I179" s="8"/>
      <c r="J179" s="8"/>
      <c r="K179" s="8"/>
      <c r="Y179" s="8"/>
      <c r="AC179" s="8"/>
      <c r="AL179" s="8"/>
      <c r="AQ179" s="8"/>
      <c r="AR179" s="7"/>
      <c r="AS179" s="7"/>
    </row>
    <row r="180" spans="19:45" s="19" customFormat="1" ht="15.75">
      <c r="S180" s="8"/>
      <c r="T180" s="8"/>
      <c r="U180" s="8"/>
      <c r="V180" s="8"/>
      <c r="W180" s="8"/>
      <c r="X180" s="8"/>
      <c r="Y180" s="8"/>
      <c r="AC180" s="8"/>
      <c r="AL180" s="8"/>
      <c r="AQ180" s="8"/>
      <c r="AR180" s="7"/>
      <c r="AS180" s="7"/>
    </row>
    <row r="181" spans="19:45" s="19" customFormat="1" ht="15.75">
      <c r="S181" s="8"/>
      <c r="T181" s="8"/>
      <c r="U181" s="8"/>
      <c r="V181" s="8"/>
      <c r="W181" s="8"/>
      <c r="X181" s="8"/>
      <c r="Y181" s="8"/>
      <c r="AC181" s="8"/>
      <c r="AL181" s="8"/>
      <c r="AQ181" s="8"/>
      <c r="AR181" s="7"/>
      <c r="AS181" s="7"/>
    </row>
    <row r="182" s="19" customFormat="1" ht="15"/>
    <row r="183" spans="20:38" s="19" customFormat="1" ht="39.75" customHeight="1">
      <c r="T183" s="20"/>
      <c r="AL183" s="20"/>
    </row>
    <row r="184" spans="25:45" s="19" customFormat="1" ht="15.75">
      <c r="Y184" s="8"/>
      <c r="AL184" s="8"/>
      <c r="AQ184" s="8"/>
      <c r="AR184" s="7"/>
      <c r="AS184" s="7"/>
    </row>
    <row r="185" spans="9:45" s="19" customFormat="1" ht="15.75">
      <c r="I185" s="8"/>
      <c r="J185" s="8"/>
      <c r="K185" s="8"/>
      <c r="S185" s="8"/>
      <c r="T185" s="8"/>
      <c r="U185" s="8"/>
      <c r="V185" s="8"/>
      <c r="W185" s="8"/>
      <c r="X185" s="8"/>
      <c r="Y185" s="8"/>
      <c r="AL185" s="8"/>
      <c r="AQ185" s="8"/>
      <c r="AR185" s="7"/>
      <c r="AS185" s="7"/>
    </row>
    <row r="186" spans="20:45" s="19" customFormat="1" ht="15.75">
      <c r="T186" s="8"/>
      <c r="Y186" s="8"/>
      <c r="AL186" s="8"/>
      <c r="AQ186" s="8"/>
      <c r="AR186" s="7"/>
      <c r="AS186" s="7"/>
    </row>
    <row r="187" spans="20:45" s="19" customFormat="1" ht="15.75">
      <c r="T187" s="8"/>
      <c r="Y187" s="8"/>
      <c r="AL187" s="8"/>
      <c r="AQ187" s="8"/>
      <c r="AR187" s="7"/>
      <c r="AS187" s="7"/>
    </row>
    <row r="188" spans="20:45" s="19" customFormat="1" ht="15.75">
      <c r="T188" s="8"/>
      <c r="Y188" s="8"/>
      <c r="AL188" s="8"/>
      <c r="AQ188" s="8"/>
      <c r="AR188" s="7"/>
      <c r="AS188" s="7"/>
    </row>
    <row r="189" spans="20:45" s="19" customFormat="1" ht="15.75">
      <c r="T189" s="8"/>
      <c r="Y189" s="8"/>
      <c r="AL189" s="8"/>
      <c r="AQ189" s="8"/>
      <c r="AR189" s="7"/>
      <c r="AS189" s="7"/>
    </row>
    <row r="190" spans="9:45" s="19" customFormat="1" ht="15.75">
      <c r="I190" s="8"/>
      <c r="J190" s="8"/>
      <c r="K190" s="8"/>
      <c r="T190" s="8"/>
      <c r="Y190" s="8"/>
      <c r="AC190" s="8"/>
      <c r="AL190" s="8"/>
      <c r="AQ190" s="8"/>
      <c r="AR190" s="7"/>
      <c r="AS190" s="7"/>
    </row>
    <row r="191" spans="20:45" s="19" customFormat="1" ht="15.75">
      <c r="T191" s="8"/>
      <c r="Y191" s="8"/>
      <c r="AL191" s="8"/>
      <c r="AQ191" s="8"/>
      <c r="AR191" s="7"/>
      <c r="AS191" s="7"/>
    </row>
    <row r="192" spans="20:45" s="19" customFormat="1" ht="15.75">
      <c r="T192" s="8"/>
      <c r="Y192" s="8"/>
      <c r="AL192" s="8"/>
      <c r="AQ192" s="8"/>
      <c r="AR192" s="7"/>
      <c r="AS192" s="7"/>
    </row>
    <row r="193" spans="20:45" s="19" customFormat="1" ht="15.75">
      <c r="T193" s="8"/>
      <c r="Y193" s="8"/>
      <c r="AL193" s="8"/>
      <c r="AQ193" s="8"/>
      <c r="AR193" s="7"/>
      <c r="AS193" s="7"/>
    </row>
    <row r="194" spans="20:45" s="19" customFormat="1" ht="15.75">
      <c r="T194" s="8"/>
      <c r="Y194" s="8"/>
      <c r="AL194" s="8"/>
      <c r="AQ194" s="8"/>
      <c r="AR194" s="7"/>
      <c r="AS194" s="7"/>
    </row>
    <row r="195" spans="9:45" s="19" customFormat="1" ht="15.75">
      <c r="I195" s="8"/>
      <c r="J195" s="8"/>
      <c r="K195" s="8"/>
      <c r="S195" s="8"/>
      <c r="T195" s="8"/>
      <c r="U195" s="8"/>
      <c r="V195" s="8"/>
      <c r="W195" s="8"/>
      <c r="X195" s="8"/>
      <c r="Y195" s="8"/>
      <c r="AL195" s="8"/>
      <c r="AQ195" s="8"/>
      <c r="AR195" s="7"/>
      <c r="AS195" s="7"/>
    </row>
    <row r="196" spans="20:45" s="19" customFormat="1" ht="15.75">
      <c r="T196" s="8"/>
      <c r="Y196" s="8"/>
      <c r="AL196" s="8"/>
      <c r="AQ196" s="8"/>
      <c r="AR196" s="7"/>
      <c r="AS196" s="7"/>
    </row>
    <row r="197" spans="20:45" s="19" customFormat="1" ht="15.75">
      <c r="T197" s="8"/>
      <c r="Y197" s="8"/>
      <c r="AL197" s="8"/>
      <c r="AQ197" s="8"/>
      <c r="AR197" s="7"/>
      <c r="AS197" s="7"/>
    </row>
    <row r="198" spans="20:45" s="19" customFormat="1" ht="15.75">
      <c r="T198" s="8"/>
      <c r="Y198" s="8"/>
      <c r="AL198" s="8"/>
      <c r="AQ198" s="8"/>
      <c r="AR198" s="7"/>
      <c r="AS198" s="7"/>
    </row>
    <row r="199" spans="20:45" s="19" customFormat="1" ht="15.75">
      <c r="T199" s="8"/>
      <c r="Y199" s="8"/>
      <c r="AL199" s="8"/>
      <c r="AQ199" s="8"/>
      <c r="AR199" s="7"/>
      <c r="AS199" s="7"/>
    </row>
    <row r="200" spans="9:45" s="19" customFormat="1" ht="15.75">
      <c r="I200" s="8"/>
      <c r="J200" s="8"/>
      <c r="K200" s="8"/>
      <c r="O200" s="8"/>
      <c r="T200" s="8"/>
      <c r="Y200" s="8"/>
      <c r="AL200" s="8"/>
      <c r="AQ200" s="8"/>
      <c r="AR200" s="7"/>
      <c r="AS200" s="7"/>
    </row>
    <row r="201" spans="20:45" s="19" customFormat="1" ht="15.75">
      <c r="T201" s="8"/>
      <c r="Y201" s="8"/>
      <c r="AL201" s="8"/>
      <c r="AQ201" s="8"/>
      <c r="AR201" s="7"/>
      <c r="AS201" s="7"/>
    </row>
    <row r="202" s="19" customFormat="1" ht="15"/>
    <row r="203" spans="20:38" s="19" customFormat="1" ht="35.25" customHeight="1">
      <c r="T203" s="20"/>
      <c r="AL203" s="20"/>
    </row>
    <row r="204" spans="20:45" s="19" customFormat="1" ht="15.75">
      <c r="T204" s="8"/>
      <c r="Y204" s="8"/>
      <c r="AL204" s="8"/>
      <c r="AQ204" s="8"/>
      <c r="AR204" s="7"/>
      <c r="AS204" s="7"/>
    </row>
    <row r="205" spans="20:45" s="19" customFormat="1" ht="15.75">
      <c r="T205" s="8"/>
      <c r="Y205" s="8"/>
      <c r="AC205" s="8"/>
      <c r="AL205" s="8"/>
      <c r="AQ205" s="8"/>
      <c r="AR205" s="7"/>
      <c r="AS205" s="7"/>
    </row>
    <row r="206" spans="20:45" s="19" customFormat="1" ht="15.75">
      <c r="T206" s="8"/>
      <c r="Y206" s="8"/>
      <c r="AL206" s="8"/>
      <c r="AQ206" s="8"/>
      <c r="AR206" s="7"/>
      <c r="AS206" s="7"/>
    </row>
    <row r="207" spans="20:45" s="19" customFormat="1" ht="15.75">
      <c r="T207" s="8"/>
      <c r="Y207" s="8"/>
      <c r="AL207" s="8"/>
      <c r="AQ207" s="8"/>
      <c r="AR207" s="7"/>
      <c r="AS207" s="7"/>
    </row>
    <row r="208" spans="20:45" s="19" customFormat="1" ht="15.75">
      <c r="T208" s="8"/>
      <c r="Y208" s="8"/>
      <c r="AL208" s="8"/>
      <c r="AQ208" s="8"/>
      <c r="AR208" s="7"/>
      <c r="AS208" s="7"/>
    </row>
    <row r="209" spans="15:45" s="19" customFormat="1" ht="15.75">
      <c r="O209" s="8"/>
      <c r="T209" s="8"/>
      <c r="Y209" s="8"/>
      <c r="AL209" s="8"/>
      <c r="AQ209" s="8"/>
      <c r="AR209" s="7"/>
      <c r="AS209" s="7"/>
    </row>
    <row r="210" spans="20:45" s="19" customFormat="1" ht="15.75">
      <c r="T210" s="8"/>
      <c r="Y210" s="8"/>
      <c r="AL210" s="8"/>
      <c r="AQ210" s="8"/>
      <c r="AR210" s="7"/>
      <c r="AS210" s="7"/>
    </row>
    <row r="211" spans="9:45" s="19" customFormat="1" ht="15.75">
      <c r="I211" s="8"/>
      <c r="J211" s="8"/>
      <c r="K211" s="8"/>
      <c r="O211" s="8"/>
      <c r="T211" s="8"/>
      <c r="Y211" s="8"/>
      <c r="AC211" s="8"/>
      <c r="AL211" s="8"/>
      <c r="AQ211" s="8"/>
      <c r="AR211" s="7"/>
      <c r="AS211" s="7"/>
    </row>
    <row r="212" spans="20:45" s="19" customFormat="1" ht="15.75">
      <c r="T212" s="8"/>
      <c r="Y212" s="8"/>
      <c r="AL212" s="8"/>
      <c r="AQ212" s="8"/>
      <c r="AR212" s="7"/>
      <c r="AS212" s="7"/>
    </row>
    <row r="213" spans="20:45" s="19" customFormat="1" ht="15.75">
      <c r="T213" s="8"/>
      <c r="Y213" s="8"/>
      <c r="AL213" s="8"/>
      <c r="AQ213" s="8"/>
      <c r="AR213" s="7"/>
      <c r="AS213" s="7"/>
    </row>
    <row r="214" spans="9:45" s="19" customFormat="1" ht="15.75">
      <c r="I214" s="8"/>
      <c r="J214" s="8"/>
      <c r="K214" s="8"/>
      <c r="T214" s="8"/>
      <c r="Y214" s="8"/>
      <c r="AL214" s="8"/>
      <c r="AQ214" s="8"/>
      <c r="AR214" s="7"/>
      <c r="AS214" s="7"/>
    </row>
    <row r="215" spans="20:45" s="19" customFormat="1" ht="15.75">
      <c r="T215" s="8"/>
      <c r="Y215" s="8"/>
      <c r="AL215" s="8"/>
      <c r="AQ215" s="8"/>
      <c r="AR215" s="7"/>
      <c r="AS215" s="7"/>
    </row>
    <row r="216" spans="9:45" s="19" customFormat="1" ht="15.75">
      <c r="I216" s="8"/>
      <c r="J216" s="8"/>
      <c r="K216" s="8"/>
      <c r="T216" s="8"/>
      <c r="Y216" s="8"/>
      <c r="AL216" s="8"/>
      <c r="AQ216" s="8"/>
      <c r="AR216" s="7"/>
      <c r="AS216" s="7"/>
    </row>
    <row r="217" spans="20:45" s="19" customFormat="1" ht="15.75">
      <c r="T217" s="8"/>
      <c r="Y217" s="8"/>
      <c r="AL217" s="8"/>
      <c r="AQ217" s="8"/>
      <c r="AR217" s="7"/>
      <c r="AS217" s="7"/>
    </row>
    <row r="218" spans="20:45" s="19" customFormat="1" ht="15.75">
      <c r="T218" s="8"/>
      <c r="Y218" s="8"/>
      <c r="AL218" s="8"/>
      <c r="AQ218" s="8"/>
      <c r="AR218" s="7"/>
      <c r="AS218" s="7"/>
    </row>
    <row r="219" spans="20:45" s="19" customFormat="1" ht="15.75">
      <c r="T219" s="8"/>
      <c r="Y219" s="8"/>
      <c r="AL219" s="8"/>
      <c r="AQ219" s="8"/>
      <c r="AR219" s="7"/>
      <c r="AS219" s="7"/>
    </row>
    <row r="220" spans="15:45" s="19" customFormat="1" ht="15.75">
      <c r="O220" s="8"/>
      <c r="T220" s="8"/>
      <c r="Y220" s="8"/>
      <c r="AL220" s="8"/>
      <c r="AQ220" s="8"/>
      <c r="AR220" s="7"/>
      <c r="AS220" s="7"/>
    </row>
    <row r="221" spans="9:45" s="19" customFormat="1" ht="15.75">
      <c r="I221" s="8"/>
      <c r="J221" s="8"/>
      <c r="K221" s="8"/>
      <c r="T221" s="8"/>
      <c r="Y221" s="8"/>
      <c r="AL221" s="8"/>
      <c r="AQ221" s="8"/>
      <c r="AR221" s="7"/>
      <c r="AS221" s="7"/>
    </row>
    <row r="222" spans="9:45" s="19" customFormat="1" ht="15.75">
      <c r="I222" s="8"/>
      <c r="J222" s="8"/>
      <c r="K222" s="8"/>
      <c r="T222" s="8"/>
      <c r="Y222" s="8"/>
      <c r="AL222" s="8"/>
      <c r="AQ222" s="8"/>
      <c r="AR222" s="7"/>
      <c r="AS222" s="7"/>
    </row>
    <row r="223" spans="38:43" s="19" customFormat="1" ht="15">
      <c r="AL223" s="8"/>
      <c r="AQ223" s="8"/>
    </row>
    <row r="224" spans="9:45" s="19" customFormat="1" ht="15.75">
      <c r="I224" s="8"/>
      <c r="J224" s="8"/>
      <c r="K224" s="8"/>
      <c r="Y224" s="8"/>
      <c r="AL224" s="8"/>
      <c r="AQ224" s="8"/>
      <c r="AR224" s="7"/>
      <c r="AS224" s="7"/>
    </row>
    <row r="225" spans="9:45" s="19" customFormat="1" ht="15.75">
      <c r="I225" s="8"/>
      <c r="J225" s="8"/>
      <c r="K225" s="8"/>
      <c r="Y225" s="8"/>
      <c r="AL225" s="8"/>
      <c r="AQ225" s="8"/>
      <c r="AR225" s="7"/>
      <c r="AS225" s="7"/>
    </row>
    <row r="226" spans="15:45" s="19" customFormat="1" ht="15.75">
      <c r="O226" s="8"/>
      <c r="S226" s="8"/>
      <c r="T226" s="8"/>
      <c r="U226" s="8"/>
      <c r="V226" s="8"/>
      <c r="W226" s="8"/>
      <c r="X226" s="8"/>
      <c r="Y226" s="8"/>
      <c r="AC226" s="8"/>
      <c r="AL226" s="8"/>
      <c r="AQ226" s="8"/>
      <c r="AR226" s="7"/>
      <c r="AS226" s="7"/>
    </row>
    <row r="227" spans="9:45" s="19" customFormat="1" ht="15.75">
      <c r="I227" s="8"/>
      <c r="J227" s="8"/>
      <c r="K227" s="8"/>
      <c r="Y227" s="8"/>
      <c r="AL227" s="8"/>
      <c r="AQ227" s="8"/>
      <c r="AR227" s="7"/>
      <c r="AS227" s="7"/>
    </row>
    <row r="228" s="19" customFormat="1" ht="15"/>
    <row r="229" s="19" customFormat="1" ht="15">
      <c r="T229" s="20"/>
    </row>
    <row r="230" spans="20:45" s="19" customFormat="1" ht="15.75">
      <c r="T230" s="8"/>
      <c r="Y230" s="8"/>
      <c r="AQ230" s="8"/>
      <c r="AR230" s="7"/>
      <c r="AS230" s="7"/>
    </row>
    <row r="231" spans="25:45" s="19" customFormat="1" ht="15.75">
      <c r="Y231" s="8"/>
      <c r="AQ231" s="8"/>
      <c r="AR231" s="7"/>
      <c r="AS231" s="7"/>
    </row>
    <row r="232" spans="25:45" s="19" customFormat="1" ht="15.75">
      <c r="Y232" s="8"/>
      <c r="AQ232" s="8"/>
      <c r="AR232" s="7"/>
      <c r="AS232" s="7"/>
    </row>
    <row r="233" spans="25:45" s="19" customFormat="1" ht="15.75">
      <c r="Y233" s="8"/>
      <c r="AQ233" s="8"/>
      <c r="AR233" s="7"/>
      <c r="AS233" s="7"/>
    </row>
    <row r="234" spans="13:45" s="19" customFormat="1" ht="15.75">
      <c r="M234" s="8"/>
      <c r="S234" s="8"/>
      <c r="T234" s="8"/>
      <c r="U234" s="8"/>
      <c r="V234" s="8"/>
      <c r="W234" s="8"/>
      <c r="X234" s="8"/>
      <c r="Y234" s="8"/>
      <c r="AQ234" s="8"/>
      <c r="AR234" s="7"/>
      <c r="AS234" s="7"/>
    </row>
    <row r="235" spans="25:45" s="19" customFormat="1" ht="15.75">
      <c r="Y235" s="8"/>
      <c r="AQ235" s="8"/>
      <c r="AR235" s="7"/>
      <c r="AS235" s="7"/>
    </row>
    <row r="236" spans="25:45" s="19" customFormat="1" ht="15.75">
      <c r="Y236" s="8"/>
      <c r="AQ236" s="8"/>
      <c r="AR236" s="7"/>
      <c r="AS236" s="7"/>
    </row>
    <row r="237" spans="20:45" s="19" customFormat="1" ht="15.75">
      <c r="T237" s="8"/>
      <c r="Y237" s="8"/>
      <c r="AQ237" s="8"/>
      <c r="AR237" s="7"/>
      <c r="AS237" s="7"/>
    </row>
    <row r="238" spans="25:45" s="19" customFormat="1" ht="15.75">
      <c r="Y238" s="8"/>
      <c r="AQ238" s="8"/>
      <c r="AR238" s="7"/>
      <c r="AS238" s="7"/>
    </row>
    <row r="239" spans="25:45" s="19" customFormat="1" ht="15.75">
      <c r="Y239" s="8"/>
      <c r="AQ239" s="8"/>
      <c r="AR239" s="7"/>
      <c r="AS239" s="7"/>
    </row>
    <row r="240" spans="25:45" s="19" customFormat="1" ht="15.75">
      <c r="Y240" s="8"/>
      <c r="AQ240" s="8"/>
      <c r="AR240" s="7"/>
      <c r="AS240" s="7"/>
    </row>
    <row r="241" spans="13:45" s="19" customFormat="1" ht="15.75">
      <c r="M241" s="8"/>
      <c r="S241" s="8"/>
      <c r="T241" s="8"/>
      <c r="U241" s="8"/>
      <c r="V241" s="8"/>
      <c r="W241" s="8"/>
      <c r="X241" s="8"/>
      <c r="Y241" s="8"/>
      <c r="AQ241" s="8"/>
      <c r="AR241" s="7"/>
      <c r="AS241" s="7"/>
    </row>
    <row r="242" spans="20:45" s="19" customFormat="1" ht="15.75">
      <c r="T242" s="8"/>
      <c r="Y242" s="8"/>
      <c r="AQ242" s="8"/>
      <c r="AR242" s="7"/>
      <c r="AS242" s="7"/>
    </row>
    <row r="243" s="19" customFormat="1" ht="15"/>
    <row r="244" spans="25:45" s="19" customFormat="1" ht="15.75">
      <c r="Y244" s="8"/>
      <c r="AQ244" s="8"/>
      <c r="AR244" s="7"/>
      <c r="AS244" s="7"/>
    </row>
    <row r="245" spans="25:45" s="19" customFormat="1" ht="15.75">
      <c r="Y245" s="8"/>
      <c r="AK245" s="8"/>
      <c r="AQ245" s="8"/>
      <c r="AR245" s="7"/>
      <c r="AS245" s="7"/>
    </row>
    <row r="246" spans="25:45" s="19" customFormat="1" ht="15.75">
      <c r="Y246" s="8"/>
      <c r="AQ246" s="8"/>
      <c r="AR246" s="7"/>
      <c r="AS246" s="7"/>
    </row>
    <row r="247" spans="25:45" s="19" customFormat="1" ht="15.75">
      <c r="Y247" s="8"/>
      <c r="AQ247" s="8"/>
      <c r="AR247" s="7"/>
      <c r="AS247" s="7"/>
    </row>
    <row r="248" spans="25:45" s="19" customFormat="1" ht="15.75">
      <c r="Y248" s="8"/>
      <c r="AQ248" s="8"/>
      <c r="AR248" s="7"/>
      <c r="AS248" s="7"/>
    </row>
    <row r="249" spans="25:45" s="19" customFormat="1" ht="15.75">
      <c r="Y249" s="8"/>
      <c r="AQ249" s="8"/>
      <c r="AR249" s="7"/>
      <c r="AS249" s="7"/>
    </row>
    <row r="250" spans="25:45" s="19" customFormat="1" ht="15.75">
      <c r="Y250" s="8"/>
      <c r="AQ250" s="8"/>
      <c r="AR250" s="7"/>
      <c r="AS250" s="7"/>
    </row>
    <row r="251" spans="25:45" s="19" customFormat="1" ht="15.75">
      <c r="Y251" s="8"/>
      <c r="AQ251" s="8"/>
      <c r="AR251" s="7"/>
      <c r="AS251" s="7"/>
    </row>
    <row r="252" spans="15:45" s="19" customFormat="1" ht="15.75">
      <c r="O252" s="8"/>
      <c r="Y252" s="8"/>
      <c r="AC252" s="8"/>
      <c r="AK252" s="8"/>
      <c r="AQ252" s="8"/>
      <c r="AR252" s="7"/>
      <c r="AS252" s="7"/>
    </row>
    <row r="253" spans="25:45" s="19" customFormat="1" ht="15.75">
      <c r="Y253" s="8"/>
      <c r="AQ253" s="8"/>
      <c r="AR253" s="7"/>
      <c r="AS253" s="7"/>
    </row>
    <row r="254" spans="25:45" s="19" customFormat="1" ht="15.75">
      <c r="Y254" s="8"/>
      <c r="AQ254" s="8"/>
      <c r="AR254" s="7"/>
      <c r="AS254" s="7"/>
    </row>
    <row r="255" spans="25:45" s="19" customFormat="1" ht="15.75">
      <c r="Y255" s="8"/>
      <c r="AQ255" s="8"/>
      <c r="AR255" s="7"/>
      <c r="AS255" s="7"/>
    </row>
    <row r="256" spans="9:45" s="19" customFormat="1" ht="15.75">
      <c r="I256" s="8"/>
      <c r="J256" s="8"/>
      <c r="K256" s="8"/>
      <c r="O256" s="8"/>
      <c r="Y256" s="8"/>
      <c r="AQ256" s="8"/>
      <c r="AR256" s="7"/>
      <c r="AS256" s="7"/>
    </row>
    <row r="257" spans="25:45" s="19" customFormat="1" ht="15.75">
      <c r="Y257" s="8"/>
      <c r="AQ257" s="8"/>
      <c r="AR257" s="7"/>
      <c r="AS257" s="7"/>
    </row>
    <row r="258" s="19" customFormat="1" ht="15"/>
    <row r="259" s="19" customFormat="1" ht="15">
      <c r="T259" s="20"/>
    </row>
    <row r="260" spans="15:45" s="19" customFormat="1" ht="15.75">
      <c r="O260" s="8"/>
      <c r="T260" s="27"/>
      <c r="Y260" s="8"/>
      <c r="AQ260" s="8"/>
      <c r="AR260" s="7"/>
      <c r="AS260" s="7"/>
    </row>
    <row r="261" spans="20:45" s="19" customFormat="1" ht="15.75">
      <c r="T261" s="27"/>
      <c r="Y261" s="8"/>
      <c r="AQ261" s="8"/>
      <c r="AR261" s="7"/>
      <c r="AS261" s="7"/>
    </row>
    <row r="262" spans="20:45" s="19" customFormat="1" ht="15.75">
      <c r="T262" s="27"/>
      <c r="Y262" s="8"/>
      <c r="AQ262" s="8"/>
      <c r="AR262" s="7"/>
      <c r="AS262" s="7"/>
    </row>
    <row r="263" spans="20:45" s="19" customFormat="1" ht="15.75">
      <c r="T263" s="27"/>
      <c r="Y263" s="8"/>
      <c r="AQ263" s="8"/>
      <c r="AR263" s="7"/>
      <c r="AS263" s="7"/>
    </row>
    <row r="264" spans="20:45" s="19" customFormat="1" ht="15.75">
      <c r="T264" s="27"/>
      <c r="Y264" s="8"/>
      <c r="AQ264" s="8"/>
      <c r="AR264" s="7"/>
      <c r="AS264" s="7"/>
    </row>
    <row r="265" spans="20:45" s="19" customFormat="1" ht="15.75">
      <c r="T265" s="27"/>
      <c r="Y265" s="8"/>
      <c r="AC265" s="8"/>
      <c r="AK265" s="8"/>
      <c r="AQ265" s="8"/>
      <c r="AR265" s="7"/>
      <c r="AS265" s="7"/>
    </row>
    <row r="266" spans="20:45" s="19" customFormat="1" ht="15.75">
      <c r="T266" s="27"/>
      <c r="Y266" s="8"/>
      <c r="AK266" s="8"/>
      <c r="AQ266" s="8"/>
      <c r="AR266" s="7"/>
      <c r="AS266" s="7"/>
    </row>
    <row r="267" spans="20:45" s="19" customFormat="1" ht="15.75">
      <c r="T267" s="27"/>
      <c r="Y267" s="8"/>
      <c r="AQ267" s="8"/>
      <c r="AR267" s="7"/>
      <c r="AS267" s="7"/>
    </row>
    <row r="268" spans="20:45" s="19" customFormat="1" ht="15.75">
      <c r="T268" s="27"/>
      <c r="Y268" s="8"/>
      <c r="AQ268" s="8"/>
      <c r="AR268" s="7"/>
      <c r="AS268" s="7"/>
    </row>
    <row r="269" spans="9:45" s="19" customFormat="1" ht="15.75">
      <c r="I269" s="8"/>
      <c r="J269" s="8"/>
      <c r="K269" s="8"/>
      <c r="O269" s="8"/>
      <c r="T269" s="27"/>
      <c r="Y269" s="8"/>
      <c r="AQ269" s="8"/>
      <c r="AR269" s="7"/>
      <c r="AS269" s="7"/>
    </row>
    <row r="270" spans="20:45" s="19" customFormat="1" ht="15.75">
      <c r="T270" s="27"/>
      <c r="Y270" s="8"/>
      <c r="AQ270" s="8"/>
      <c r="AR270" s="7"/>
      <c r="AS270" s="7"/>
    </row>
    <row r="271" spans="15:45" s="19" customFormat="1" ht="15.75">
      <c r="O271" s="8"/>
      <c r="T271" s="27"/>
      <c r="Y271" s="8"/>
      <c r="AQ271" s="8"/>
      <c r="AR271" s="7"/>
      <c r="AS271" s="7"/>
    </row>
    <row r="272" spans="20:45" s="19" customFormat="1" ht="15.75">
      <c r="T272" s="27"/>
      <c r="Y272" s="8"/>
      <c r="AQ272" s="8"/>
      <c r="AR272" s="7"/>
      <c r="AS272" s="7"/>
    </row>
    <row r="273" spans="20:45" s="19" customFormat="1" ht="15.75">
      <c r="T273" s="27"/>
      <c r="Y273" s="8"/>
      <c r="AK273" s="8"/>
      <c r="AQ273" s="8"/>
      <c r="AR273" s="7"/>
      <c r="AS273" s="7"/>
    </row>
    <row r="274" spans="20:45" s="19" customFormat="1" ht="15.75">
      <c r="T274" s="27"/>
      <c r="Y274" s="8"/>
      <c r="AQ274" s="8"/>
      <c r="AR274" s="7"/>
      <c r="AS274" s="7"/>
    </row>
    <row r="275" spans="20:45" s="19" customFormat="1" ht="15.75">
      <c r="T275" s="27"/>
      <c r="Y275" s="8"/>
      <c r="AQ275" s="8"/>
      <c r="AR275" s="7"/>
      <c r="AS275" s="7"/>
    </row>
    <row r="276" spans="15:25" s="19" customFormat="1" ht="15">
      <c r="O276" s="8"/>
      <c r="Y276" s="8"/>
    </row>
    <row r="277" spans="15:25" s="19" customFormat="1" ht="15">
      <c r="O277" s="8"/>
      <c r="T277" s="20"/>
      <c r="W277" s="20"/>
      <c r="Y277" s="8"/>
    </row>
    <row r="278" spans="15:45" s="19" customFormat="1" ht="15.75">
      <c r="O278" s="8"/>
      <c r="T278" s="8"/>
      <c r="W278" s="8"/>
      <c r="Y278" s="8"/>
      <c r="AQ278" s="8"/>
      <c r="AR278" s="7"/>
      <c r="AS278" s="7"/>
    </row>
    <row r="279" spans="15:45" s="19" customFormat="1" ht="15.75">
      <c r="O279" s="8"/>
      <c r="T279" s="8"/>
      <c r="W279" s="8"/>
      <c r="Y279" s="8"/>
      <c r="AQ279" s="8"/>
      <c r="AR279" s="7"/>
      <c r="AS279" s="7"/>
    </row>
    <row r="280" spans="15:45" s="19" customFormat="1" ht="15.75">
      <c r="O280" s="8"/>
      <c r="T280" s="8"/>
      <c r="W280" s="8"/>
      <c r="Y280" s="8"/>
      <c r="AQ280" s="8"/>
      <c r="AR280" s="7"/>
      <c r="AS280" s="7"/>
    </row>
    <row r="281" spans="15:45" s="19" customFormat="1" ht="15.75">
      <c r="O281" s="8"/>
      <c r="T281" s="8"/>
      <c r="W281" s="8"/>
      <c r="Y281" s="8"/>
      <c r="AQ281" s="8"/>
      <c r="AR281" s="7"/>
      <c r="AS281" s="7"/>
    </row>
    <row r="282" spans="15:45" s="19" customFormat="1" ht="15.75">
      <c r="O282" s="8"/>
      <c r="T282" s="8"/>
      <c r="W282" s="8"/>
      <c r="Y282" s="8"/>
      <c r="AQ282" s="8"/>
      <c r="AR282" s="7"/>
      <c r="AS282" s="7"/>
    </row>
    <row r="283" spans="20:45" s="19" customFormat="1" ht="15.75">
      <c r="T283" s="8"/>
      <c r="W283" s="8"/>
      <c r="Y283" s="8"/>
      <c r="AC283" s="8"/>
      <c r="AK283" s="8"/>
      <c r="AQ283" s="8"/>
      <c r="AR283" s="7"/>
      <c r="AS283" s="7"/>
    </row>
    <row r="284" spans="20:45" s="19" customFormat="1" ht="15.75">
      <c r="T284" s="8"/>
      <c r="W284" s="8"/>
      <c r="Y284" s="8"/>
      <c r="AC284" s="8"/>
      <c r="AK284" s="8"/>
      <c r="AQ284" s="8"/>
      <c r="AR284" s="7"/>
      <c r="AS284" s="7"/>
    </row>
    <row r="285" spans="20:45" s="19" customFormat="1" ht="15.75">
      <c r="T285" s="8"/>
      <c r="W285" s="8"/>
      <c r="Y285" s="8"/>
      <c r="AQ285" s="8"/>
      <c r="AR285" s="7"/>
      <c r="AS285" s="7"/>
    </row>
    <row r="286" spans="9:45" s="19" customFormat="1" ht="15.75">
      <c r="I286" s="8"/>
      <c r="J286" s="8"/>
      <c r="K286" s="8"/>
      <c r="O286" s="8"/>
      <c r="T286" s="8"/>
      <c r="W286" s="8"/>
      <c r="Y286" s="8"/>
      <c r="AQ286" s="8"/>
      <c r="AR286" s="7"/>
      <c r="AS286" s="7"/>
    </row>
    <row r="287" spans="9:45" s="19" customFormat="1" ht="15.75">
      <c r="I287" s="8"/>
      <c r="J287" s="8"/>
      <c r="K287" s="8"/>
      <c r="O287" s="8"/>
      <c r="T287" s="8"/>
      <c r="W287" s="8"/>
      <c r="Y287" s="8"/>
      <c r="AQ287" s="8"/>
      <c r="AR287" s="7"/>
      <c r="AS287" s="7"/>
    </row>
    <row r="288" spans="9:45" s="19" customFormat="1" ht="15.75">
      <c r="I288" s="8"/>
      <c r="J288" s="8"/>
      <c r="K288" s="8"/>
      <c r="O288" s="8"/>
      <c r="T288" s="8"/>
      <c r="W288" s="8"/>
      <c r="Y288" s="8"/>
      <c r="AQ288" s="8"/>
      <c r="AR288" s="7"/>
      <c r="AS288" s="7"/>
    </row>
    <row r="289" spans="9:45" s="19" customFormat="1" ht="15.75">
      <c r="I289" s="8"/>
      <c r="J289" s="8"/>
      <c r="K289" s="8"/>
      <c r="O289" s="8"/>
      <c r="T289" s="8"/>
      <c r="W289" s="8"/>
      <c r="Y289" s="8"/>
      <c r="AQ289" s="8"/>
      <c r="AR289" s="7"/>
      <c r="AS289" s="7"/>
    </row>
    <row r="290" spans="15:45" s="19" customFormat="1" ht="15.75">
      <c r="O290" s="8"/>
      <c r="T290" s="8"/>
      <c r="W290" s="8"/>
      <c r="Y290" s="8"/>
      <c r="AE290" s="8"/>
      <c r="AG290" s="8"/>
      <c r="AK290" s="8"/>
      <c r="AQ290" s="8"/>
      <c r="AR290" s="7"/>
      <c r="AS290" s="7"/>
    </row>
    <row r="291" spans="15:45" s="19" customFormat="1" ht="15.75">
      <c r="O291" s="8"/>
      <c r="T291" s="8"/>
      <c r="W291" s="8"/>
      <c r="Y291" s="8"/>
      <c r="AC291" s="8"/>
      <c r="AK291" s="8"/>
      <c r="AQ291" s="8"/>
      <c r="AR291" s="7"/>
      <c r="AS291" s="7"/>
    </row>
    <row r="292" spans="15:45" s="19" customFormat="1" ht="15.75">
      <c r="O292" s="8"/>
      <c r="T292" s="8"/>
      <c r="W292" s="8"/>
      <c r="Y292" s="8"/>
      <c r="AC292" s="8"/>
      <c r="AK292" s="8"/>
      <c r="AQ292" s="8"/>
      <c r="AR292" s="7"/>
      <c r="AS292" s="7"/>
    </row>
    <row r="293" spans="20:45" s="19" customFormat="1" ht="15.75">
      <c r="T293" s="8"/>
      <c r="W293" s="8"/>
      <c r="Y293" s="8"/>
      <c r="AK293" s="8"/>
      <c r="AQ293" s="8"/>
      <c r="AR293" s="7"/>
      <c r="AS293" s="7"/>
    </row>
    <row r="294" spans="20:45" s="19" customFormat="1" ht="15.75">
      <c r="T294" s="8"/>
      <c r="W294" s="8"/>
      <c r="Y294" s="8"/>
      <c r="AQ294" s="8"/>
      <c r="AR294" s="7"/>
      <c r="AS294" s="7"/>
    </row>
    <row r="295" s="19" customFormat="1" ht="15"/>
    <row r="296" spans="25:45" s="19" customFormat="1" ht="15.75">
      <c r="Y296" s="8"/>
      <c r="AQ296" s="8"/>
      <c r="AR296" s="7"/>
      <c r="AS296" s="7"/>
    </row>
    <row r="297" spans="25:45" s="19" customFormat="1" ht="15.75">
      <c r="Y297" s="8"/>
      <c r="AQ297" s="8"/>
      <c r="AR297" s="7"/>
      <c r="AS297" s="7"/>
    </row>
    <row r="298" s="19" customFormat="1" ht="15"/>
    <row r="299" spans="20:38" s="19" customFormat="1" ht="15">
      <c r="T299" s="20"/>
      <c r="AL299" s="20"/>
    </row>
    <row r="300" spans="20:45" s="19" customFormat="1" ht="15.75">
      <c r="T300" s="8"/>
      <c r="Y300" s="8"/>
      <c r="AL300" s="8"/>
      <c r="AQ300" s="8"/>
      <c r="AR300" s="7"/>
      <c r="AS300" s="7"/>
    </row>
    <row r="301" spans="20:45" s="19" customFormat="1" ht="15.75">
      <c r="T301" s="8"/>
      <c r="Y301" s="8"/>
      <c r="AL301" s="8"/>
      <c r="AQ301" s="8"/>
      <c r="AR301" s="7"/>
      <c r="AS301" s="7"/>
    </row>
    <row r="302" spans="20:45" s="19" customFormat="1" ht="15.75">
      <c r="T302" s="8"/>
      <c r="Y302" s="8"/>
      <c r="AL302" s="8"/>
      <c r="AQ302" s="8"/>
      <c r="AR302" s="7"/>
      <c r="AS302" s="7"/>
    </row>
    <row r="303" spans="20:45" s="19" customFormat="1" ht="15.75">
      <c r="T303" s="8"/>
      <c r="Y303" s="8"/>
      <c r="AL303" s="8"/>
      <c r="AQ303" s="8"/>
      <c r="AR303" s="7"/>
      <c r="AS303" s="7"/>
    </row>
    <row r="304" spans="20:45" s="19" customFormat="1" ht="15.75">
      <c r="T304" s="8"/>
      <c r="Y304" s="8"/>
      <c r="AL304" s="8"/>
      <c r="AQ304" s="8"/>
      <c r="AR304" s="7"/>
      <c r="AS304" s="7"/>
    </row>
    <row r="305" spans="20:45" s="19" customFormat="1" ht="15.75">
      <c r="T305" s="8"/>
      <c r="Y305" s="8"/>
      <c r="AL305" s="8"/>
      <c r="AQ305" s="8"/>
      <c r="AR305" s="7"/>
      <c r="AS305" s="7"/>
    </row>
    <row r="306" spans="20:45" s="19" customFormat="1" ht="15.75">
      <c r="T306" s="8"/>
      <c r="Y306" s="8"/>
      <c r="AL306" s="8"/>
      <c r="AQ306" s="8"/>
      <c r="AR306" s="7"/>
      <c r="AS306" s="7"/>
    </row>
    <row r="307" spans="20:45" s="19" customFormat="1" ht="15.75">
      <c r="T307" s="8"/>
      <c r="Y307" s="8"/>
      <c r="AL307" s="8"/>
      <c r="AQ307" s="8"/>
      <c r="AR307" s="7"/>
      <c r="AS307" s="7"/>
    </row>
    <row r="308" spans="20:45" s="19" customFormat="1" ht="15.75">
      <c r="T308" s="8"/>
      <c r="Y308" s="8"/>
      <c r="AL308" s="8"/>
      <c r="AQ308" s="8"/>
      <c r="AR308" s="7"/>
      <c r="AS308" s="7"/>
    </row>
    <row r="309" spans="20:45" s="19" customFormat="1" ht="15.75">
      <c r="T309" s="8"/>
      <c r="Y309" s="8"/>
      <c r="AL309" s="8"/>
      <c r="AQ309" s="8"/>
      <c r="AR309" s="7"/>
      <c r="AS309" s="7"/>
    </row>
    <row r="310" spans="13:45" s="19" customFormat="1" ht="15.75">
      <c r="M310" s="8"/>
      <c r="T310" s="8"/>
      <c r="Y310" s="8"/>
      <c r="AL310" s="8"/>
      <c r="AQ310" s="8"/>
      <c r="AR310" s="7"/>
      <c r="AS310" s="7"/>
    </row>
    <row r="311" spans="20:45" s="19" customFormat="1" ht="15.75">
      <c r="T311" s="8"/>
      <c r="Y311" s="8"/>
      <c r="AL311" s="8"/>
      <c r="AQ311" s="8"/>
      <c r="AR311" s="7"/>
      <c r="AS311" s="7"/>
    </row>
    <row r="312" spans="20:45" s="19" customFormat="1" ht="15.75">
      <c r="T312" s="8"/>
      <c r="Y312" s="8"/>
      <c r="AL312" s="8"/>
      <c r="AQ312" s="8"/>
      <c r="AR312" s="7"/>
      <c r="AS312" s="7"/>
    </row>
    <row r="313" spans="13:45" s="19" customFormat="1" ht="15.75">
      <c r="M313" s="8"/>
      <c r="T313" s="8"/>
      <c r="Y313" s="8"/>
      <c r="AL313" s="8"/>
      <c r="AQ313" s="8"/>
      <c r="AR313" s="7"/>
      <c r="AS313" s="7"/>
    </row>
    <row r="314" spans="13:45" s="19" customFormat="1" ht="15.75">
      <c r="M314" s="8"/>
      <c r="T314" s="8"/>
      <c r="Y314" s="8"/>
      <c r="AL314" s="8"/>
      <c r="AQ314" s="8"/>
      <c r="AR314" s="7"/>
      <c r="AS314" s="7"/>
    </row>
    <row r="315" spans="20:45" s="19" customFormat="1" ht="15.75">
      <c r="T315" s="8"/>
      <c r="Y315" s="8"/>
      <c r="AL315" s="8"/>
      <c r="AQ315" s="8"/>
      <c r="AR315" s="7"/>
      <c r="AS315" s="7"/>
    </row>
    <row r="316" spans="20:45" s="19" customFormat="1" ht="15.75">
      <c r="T316" s="8"/>
      <c r="Y316" s="8"/>
      <c r="AL316" s="8"/>
      <c r="AQ316" s="8"/>
      <c r="AR316" s="7"/>
      <c r="AS316" s="7"/>
    </row>
    <row r="317" spans="13:45" s="19" customFormat="1" ht="15.75">
      <c r="M317" s="8"/>
      <c r="T317" s="8"/>
      <c r="Y317" s="8"/>
      <c r="AL317" s="8"/>
      <c r="AQ317" s="8"/>
      <c r="AR317" s="7"/>
      <c r="AS317" s="7"/>
    </row>
    <row r="318" spans="20:38" s="19" customFormat="1" ht="15">
      <c r="T318" s="8"/>
      <c r="AL318" s="8"/>
    </row>
    <row r="319" spans="13:45" s="19" customFormat="1" ht="15.75">
      <c r="M319" s="8"/>
      <c r="T319" s="8"/>
      <c r="Y319" s="8"/>
      <c r="AL319" s="8"/>
      <c r="AQ319" s="8"/>
      <c r="AR319" s="7"/>
      <c r="AS319" s="7"/>
    </row>
    <row r="320" spans="20:45" s="19" customFormat="1" ht="15.75">
      <c r="T320" s="8"/>
      <c r="Y320" s="8"/>
      <c r="AL320" s="8"/>
      <c r="AQ320" s="8"/>
      <c r="AR320" s="7"/>
      <c r="AS320" s="7"/>
    </row>
    <row r="321" spans="20:45" s="19" customFormat="1" ht="15.75">
      <c r="T321" s="8"/>
      <c r="Y321" s="8"/>
      <c r="AL321" s="8"/>
      <c r="AQ321" s="8"/>
      <c r="AR321" s="7"/>
      <c r="AS321" s="7"/>
    </row>
    <row r="322" spans="20:45" s="19" customFormat="1" ht="15.75">
      <c r="T322" s="8"/>
      <c r="Y322" s="8"/>
      <c r="AL322" s="8"/>
      <c r="AQ322" s="8"/>
      <c r="AR322" s="7"/>
      <c r="AS322" s="7"/>
    </row>
    <row r="323" spans="20:45" s="19" customFormat="1" ht="15.75">
      <c r="T323" s="8"/>
      <c r="Y323" s="8"/>
      <c r="AL323" s="8"/>
      <c r="AQ323" s="8"/>
      <c r="AR323" s="7"/>
      <c r="AS323" s="7"/>
    </row>
    <row r="324" spans="20:45" s="19" customFormat="1" ht="15.75">
      <c r="T324" s="8"/>
      <c r="Y324" s="8"/>
      <c r="AL324" s="8"/>
      <c r="AQ324" s="8"/>
      <c r="AR324" s="7"/>
      <c r="AS324" s="7"/>
    </row>
    <row r="325" s="19" customFormat="1" ht="15"/>
    <row r="326" s="19" customFormat="1" ht="15">
      <c r="AL326" s="20"/>
    </row>
    <row r="327" spans="25:45" s="19" customFormat="1" ht="15.75">
      <c r="Y327" s="8"/>
      <c r="AL327" s="8"/>
      <c r="AQ327" s="8"/>
      <c r="AR327" s="7"/>
      <c r="AS327" s="7"/>
    </row>
    <row r="328" spans="25:45" s="19" customFormat="1" ht="15.75">
      <c r="Y328" s="8"/>
      <c r="AL328" s="8"/>
      <c r="AQ328" s="8"/>
      <c r="AR328" s="7"/>
      <c r="AS328" s="7"/>
    </row>
    <row r="329" spans="25:45" s="19" customFormat="1" ht="15.75">
      <c r="Y329" s="8"/>
      <c r="AL329" s="8"/>
      <c r="AQ329" s="8"/>
      <c r="AR329" s="7"/>
      <c r="AS329" s="7"/>
    </row>
    <row r="330" spans="25:45" s="19" customFormat="1" ht="15.75">
      <c r="Y330" s="8"/>
      <c r="AL330" s="8"/>
      <c r="AQ330" s="8"/>
      <c r="AR330" s="7"/>
      <c r="AS330" s="7"/>
    </row>
    <row r="331" spans="25:45" s="19" customFormat="1" ht="15.75">
      <c r="Y331" s="8"/>
      <c r="AL331" s="8"/>
      <c r="AQ331" s="8"/>
      <c r="AR331" s="7"/>
      <c r="AS331" s="7"/>
    </row>
    <row r="332" spans="25:45" s="19" customFormat="1" ht="15.75">
      <c r="Y332" s="8"/>
      <c r="AL332" s="8"/>
      <c r="AQ332" s="8"/>
      <c r="AR332" s="7"/>
      <c r="AS332" s="7"/>
    </row>
    <row r="333" spans="25:45" s="19" customFormat="1" ht="15.75">
      <c r="Y333" s="8"/>
      <c r="AL333" s="8"/>
      <c r="AQ333" s="8"/>
      <c r="AR333" s="7"/>
      <c r="AS333" s="7"/>
    </row>
    <row r="334" spans="25:45" s="19" customFormat="1" ht="15.75">
      <c r="Y334" s="8"/>
      <c r="AL334" s="8"/>
      <c r="AQ334" s="8"/>
      <c r="AR334" s="7"/>
      <c r="AS334" s="7"/>
    </row>
    <row r="335" spans="25:45" s="19" customFormat="1" ht="15.75">
      <c r="Y335" s="8"/>
      <c r="AL335" s="8"/>
      <c r="AQ335" s="8"/>
      <c r="AR335" s="7"/>
      <c r="AS335" s="7"/>
    </row>
    <row r="336" spans="25:45" s="19" customFormat="1" ht="15.75">
      <c r="Y336" s="8"/>
      <c r="AL336" s="8"/>
      <c r="AQ336" s="8"/>
      <c r="AR336" s="7"/>
      <c r="AS336" s="7"/>
    </row>
    <row r="337" spans="13:45" s="19" customFormat="1" ht="15.75">
      <c r="M337" s="8"/>
      <c r="Y337" s="8"/>
      <c r="AL337" s="8"/>
      <c r="AQ337" s="8"/>
      <c r="AR337" s="7"/>
      <c r="AS337" s="7"/>
    </row>
    <row r="338" spans="25:45" s="19" customFormat="1" ht="15.75">
      <c r="Y338" s="8"/>
      <c r="AL338" s="8"/>
      <c r="AQ338" s="8"/>
      <c r="AR338" s="7"/>
      <c r="AS338" s="7"/>
    </row>
    <row r="339" spans="25:45" s="19" customFormat="1" ht="15.75">
      <c r="Y339" s="8"/>
      <c r="AL339" s="8"/>
      <c r="AQ339" s="8"/>
      <c r="AR339" s="7"/>
      <c r="AS339" s="7"/>
    </row>
    <row r="340" spans="25:45" s="19" customFormat="1" ht="15.75">
      <c r="Y340" s="8"/>
      <c r="AL340" s="8"/>
      <c r="AQ340" s="8"/>
      <c r="AR340" s="7"/>
      <c r="AS340" s="7"/>
    </row>
    <row r="341" spans="25:45" s="19" customFormat="1" ht="15.75">
      <c r="Y341" s="8"/>
      <c r="AL341" s="8"/>
      <c r="AQ341" s="8"/>
      <c r="AR341" s="7"/>
      <c r="AS341" s="7"/>
    </row>
    <row r="342" spans="25:45" s="19" customFormat="1" ht="15.75">
      <c r="Y342" s="8"/>
      <c r="AL342" s="8"/>
      <c r="AQ342" s="8"/>
      <c r="AR342" s="7"/>
      <c r="AS342" s="7"/>
    </row>
    <row r="343" spans="13:45" s="19" customFormat="1" ht="15.75">
      <c r="M343" s="8"/>
      <c r="Y343" s="8"/>
      <c r="AL343" s="8"/>
      <c r="AQ343" s="8"/>
      <c r="AR343" s="7"/>
      <c r="AS343" s="7"/>
    </row>
    <row r="344" spans="25:45" s="19" customFormat="1" ht="15.75">
      <c r="Y344" s="8"/>
      <c r="AL344" s="8"/>
      <c r="AQ344" s="8"/>
      <c r="AR344" s="7"/>
      <c r="AS344" s="7"/>
    </row>
    <row r="345" spans="25:45" s="19" customFormat="1" ht="15.75">
      <c r="Y345" s="8"/>
      <c r="AL345" s="8"/>
      <c r="AQ345" s="8"/>
      <c r="AR345" s="7"/>
      <c r="AS345" s="7"/>
    </row>
    <row r="346" s="19" customFormat="1" ht="15"/>
    <row r="347" spans="20:38" s="19" customFormat="1" ht="15">
      <c r="T347" s="20"/>
      <c r="U347" s="20"/>
      <c r="V347" s="20"/>
      <c r="AL347" s="20"/>
    </row>
    <row r="348" spans="20:45" s="19" customFormat="1" ht="15.75">
      <c r="T348" s="8"/>
      <c r="U348" s="8"/>
      <c r="V348" s="8"/>
      <c r="Y348" s="8"/>
      <c r="AL348" s="8"/>
      <c r="AQ348" s="8"/>
      <c r="AR348" s="7"/>
      <c r="AS348" s="7"/>
    </row>
    <row r="349" spans="20:45" s="19" customFormat="1" ht="15.75">
      <c r="T349" s="8"/>
      <c r="U349" s="8"/>
      <c r="V349" s="8"/>
      <c r="Y349" s="8"/>
      <c r="AL349" s="8"/>
      <c r="AQ349" s="8"/>
      <c r="AR349" s="7"/>
      <c r="AS349" s="7"/>
    </row>
    <row r="350" spans="13:45" s="19" customFormat="1" ht="15.75">
      <c r="M350" s="8"/>
      <c r="T350" s="8"/>
      <c r="U350" s="8"/>
      <c r="V350" s="8"/>
      <c r="Y350" s="8"/>
      <c r="AL350" s="8"/>
      <c r="AQ350" s="8"/>
      <c r="AR350" s="7"/>
      <c r="AS350" s="7"/>
    </row>
    <row r="351" spans="13:45" s="19" customFormat="1" ht="15.75">
      <c r="M351" s="8"/>
      <c r="T351" s="8"/>
      <c r="U351" s="8"/>
      <c r="V351" s="8"/>
      <c r="Y351" s="8"/>
      <c r="AL351" s="8"/>
      <c r="AQ351" s="8"/>
      <c r="AR351" s="7"/>
      <c r="AS351" s="7"/>
    </row>
    <row r="352" spans="13:45" s="19" customFormat="1" ht="15.75">
      <c r="M352" s="8"/>
      <c r="T352" s="8"/>
      <c r="U352" s="8"/>
      <c r="V352" s="8"/>
      <c r="Y352" s="8"/>
      <c r="AL352" s="8"/>
      <c r="AQ352" s="8"/>
      <c r="AR352" s="7"/>
      <c r="AS352" s="7"/>
    </row>
    <row r="353" spans="13:45" s="19" customFormat="1" ht="15.75">
      <c r="M353" s="8"/>
      <c r="T353" s="8"/>
      <c r="U353" s="8"/>
      <c r="V353" s="8"/>
      <c r="Y353" s="8"/>
      <c r="AE353" s="8"/>
      <c r="AG353" s="8"/>
      <c r="AL353" s="8"/>
      <c r="AQ353" s="8"/>
      <c r="AR353" s="7"/>
      <c r="AS353" s="7"/>
    </row>
    <row r="354" spans="13:45" s="19" customFormat="1" ht="15.75">
      <c r="M354" s="8"/>
      <c r="U354" s="8"/>
      <c r="V354" s="8"/>
      <c r="Y354" s="8"/>
      <c r="AL354" s="8"/>
      <c r="AQ354" s="8"/>
      <c r="AR354" s="7"/>
      <c r="AS354" s="7"/>
    </row>
    <row r="355" spans="13:45" s="19" customFormat="1" ht="15.75">
      <c r="M355" s="8"/>
      <c r="T355" s="8"/>
      <c r="U355" s="8"/>
      <c r="V355" s="8"/>
      <c r="Y355" s="8"/>
      <c r="AL355" s="8"/>
      <c r="AQ355" s="8"/>
      <c r="AR355" s="7"/>
      <c r="AS355" s="7"/>
    </row>
    <row r="356" spans="13:45" s="19" customFormat="1" ht="15.75">
      <c r="M356" s="8"/>
      <c r="U356" s="8"/>
      <c r="V356" s="8"/>
      <c r="Y356" s="8"/>
      <c r="AL356" s="8"/>
      <c r="AQ356" s="8"/>
      <c r="AR356" s="7"/>
      <c r="AS356" s="7"/>
    </row>
    <row r="357" spans="13:45" s="19" customFormat="1" ht="15.75">
      <c r="M357" s="8"/>
      <c r="T357" s="8"/>
      <c r="U357" s="8"/>
      <c r="V357" s="8"/>
      <c r="Y357" s="8"/>
      <c r="AL357" s="8"/>
      <c r="AQ357" s="8"/>
      <c r="AR357" s="7"/>
      <c r="AS357" s="7"/>
    </row>
    <row r="358" s="19" customFormat="1" ht="15"/>
    <row r="359" s="19" customFormat="1" ht="15"/>
    <row r="360" s="19" customFormat="1" ht="15"/>
    <row r="361" s="19" customFormat="1" ht="15"/>
    <row r="362" s="19" customFormat="1" ht="15"/>
    <row r="363" s="19" customFormat="1" ht="15"/>
    <row r="364" s="19" customFormat="1" ht="15"/>
    <row r="365" s="19" customFormat="1" ht="15"/>
    <row r="366" s="19" customFormat="1" ht="15"/>
    <row r="367" s="19" customFormat="1" ht="15"/>
    <row r="368" s="19" customFormat="1" ht="15"/>
  </sheetData>
  <sheetProtection/>
  <mergeCells count="13">
    <mergeCell ref="AO3:AP3"/>
    <mergeCell ref="F2:F3"/>
    <mergeCell ref="G2:G3"/>
    <mergeCell ref="Z2:AI2"/>
    <mergeCell ref="T3:V3"/>
    <mergeCell ref="W3:X3"/>
    <mergeCell ref="H2:Y2"/>
    <mergeCell ref="A2:A3"/>
    <mergeCell ref="B2:B3"/>
    <mergeCell ref="C2:C3"/>
    <mergeCell ref="D2:D3"/>
    <mergeCell ref="E2:E3"/>
    <mergeCell ref="AL3:AN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20.57421875" style="0" customWidth="1"/>
    <col min="2" max="2" width="11.00390625" style="0" customWidth="1"/>
    <col min="3" max="3" width="11.8515625" style="0" customWidth="1"/>
    <col min="4" max="4" width="11.140625" style="0" customWidth="1"/>
    <col min="5" max="5" width="16.8515625" style="0" customWidth="1"/>
    <col min="6" max="6" width="11.28125" style="0" customWidth="1"/>
    <col min="7" max="7" width="13.28125" style="0" customWidth="1"/>
    <col min="8" max="8" width="11.140625" style="0" customWidth="1"/>
  </cols>
  <sheetData>
    <row r="1" spans="1:8" ht="18.75">
      <c r="A1" s="35" t="s">
        <v>111</v>
      </c>
      <c r="B1" s="35"/>
      <c r="C1" s="35"/>
      <c r="D1" s="35"/>
      <c r="E1" s="35"/>
      <c r="F1" s="35"/>
      <c r="G1" s="35"/>
      <c r="H1" s="35"/>
    </row>
    <row r="2" spans="1:8" s="3" customFormat="1" ht="15.75">
      <c r="A2" s="36" t="s">
        <v>112</v>
      </c>
      <c r="B2" s="36"/>
      <c r="C2" s="36" t="s">
        <v>13</v>
      </c>
      <c r="D2" s="36"/>
      <c r="E2" s="36" t="s">
        <v>113</v>
      </c>
      <c r="F2" s="36"/>
      <c r="G2" s="36" t="s">
        <v>114</v>
      </c>
      <c r="H2" s="36"/>
    </row>
    <row r="3" spans="1:8" s="2" customFormat="1" ht="15">
      <c r="A3" s="2" t="s">
        <v>115</v>
      </c>
      <c r="B3" s="2" t="s">
        <v>116</v>
      </c>
      <c r="C3" s="2" t="s">
        <v>117</v>
      </c>
      <c r="D3" s="2" t="s">
        <v>116</v>
      </c>
      <c r="E3" s="2" t="s">
        <v>118</v>
      </c>
      <c r="F3" s="2" t="s">
        <v>116</v>
      </c>
      <c r="G3" s="2" t="s">
        <v>119</v>
      </c>
      <c r="H3" s="2" t="s">
        <v>116</v>
      </c>
    </row>
    <row r="4" spans="1:8" ht="15">
      <c r="A4">
        <v>5</v>
      </c>
      <c r="B4">
        <v>2</v>
      </c>
      <c r="C4" s="30" t="s">
        <v>120</v>
      </c>
      <c r="D4">
        <v>2</v>
      </c>
      <c r="E4" t="s">
        <v>121</v>
      </c>
      <c r="F4">
        <v>2</v>
      </c>
      <c r="G4" t="s">
        <v>122</v>
      </c>
      <c r="H4">
        <v>1</v>
      </c>
    </row>
    <row r="5" spans="1:8" ht="15">
      <c r="A5">
        <v>4</v>
      </c>
      <c r="B5">
        <v>1.8</v>
      </c>
      <c r="C5" s="30" t="s">
        <v>123</v>
      </c>
      <c r="D5">
        <v>1.8</v>
      </c>
      <c r="E5" t="s">
        <v>124</v>
      </c>
      <c r="F5">
        <v>1.8</v>
      </c>
      <c r="G5" t="s">
        <v>125</v>
      </c>
      <c r="H5">
        <v>0.9</v>
      </c>
    </row>
    <row r="6" spans="1:8" ht="15">
      <c r="A6">
        <v>3</v>
      </c>
      <c r="B6">
        <v>1.6</v>
      </c>
      <c r="C6" s="30" t="s">
        <v>126</v>
      </c>
      <c r="D6">
        <v>1.6</v>
      </c>
      <c r="E6" t="s">
        <v>127</v>
      </c>
      <c r="F6">
        <v>1.6</v>
      </c>
      <c r="G6" t="s">
        <v>128</v>
      </c>
      <c r="H6">
        <v>0.8</v>
      </c>
    </row>
    <row r="7" spans="1:8" ht="15">
      <c r="A7">
        <v>2</v>
      </c>
      <c r="B7">
        <v>1.4</v>
      </c>
      <c r="C7" s="30" t="s">
        <v>129</v>
      </c>
      <c r="D7">
        <v>1.4</v>
      </c>
      <c r="E7" t="s">
        <v>130</v>
      </c>
      <c r="F7">
        <v>1.4</v>
      </c>
      <c r="G7" t="s">
        <v>131</v>
      </c>
      <c r="H7">
        <v>0.7</v>
      </c>
    </row>
    <row r="8" spans="1:8" ht="15">
      <c r="A8">
        <v>1</v>
      </c>
      <c r="B8">
        <v>1.2</v>
      </c>
      <c r="C8" s="30" t="s">
        <v>132</v>
      </c>
      <c r="D8">
        <v>1.2</v>
      </c>
      <c r="E8" t="s">
        <v>133</v>
      </c>
      <c r="F8">
        <v>1.2</v>
      </c>
      <c r="G8" t="s">
        <v>134</v>
      </c>
      <c r="H8">
        <v>0.6</v>
      </c>
    </row>
    <row r="9" spans="1:11" ht="15">
      <c r="A9" t="s">
        <v>135</v>
      </c>
      <c r="B9">
        <v>1</v>
      </c>
      <c r="C9" s="30" t="s">
        <v>136</v>
      </c>
      <c r="D9">
        <v>1</v>
      </c>
      <c r="E9" t="s">
        <v>137</v>
      </c>
      <c r="F9">
        <v>1</v>
      </c>
      <c r="G9" t="s">
        <v>138</v>
      </c>
      <c r="H9">
        <v>0.5</v>
      </c>
      <c r="K9" s="37"/>
    </row>
    <row r="10" spans="1:8" ht="15">
      <c r="A10" t="s">
        <v>139</v>
      </c>
      <c r="B10">
        <v>0.5</v>
      </c>
      <c r="C10" s="30" t="s">
        <v>140</v>
      </c>
      <c r="D10">
        <v>0.75</v>
      </c>
      <c r="E10" t="s">
        <v>141</v>
      </c>
      <c r="F10">
        <v>0.7</v>
      </c>
      <c r="G10" t="s">
        <v>142</v>
      </c>
      <c r="H10">
        <v>0.4</v>
      </c>
    </row>
    <row r="11" spans="3:8" ht="15">
      <c r="C11" s="30" t="s">
        <v>143</v>
      </c>
      <c r="D11">
        <v>0.5</v>
      </c>
      <c r="E11" t="s">
        <v>144</v>
      </c>
      <c r="F11">
        <v>0.4</v>
      </c>
      <c r="G11" t="s">
        <v>145</v>
      </c>
      <c r="H11">
        <v>0.3</v>
      </c>
    </row>
    <row r="12" spans="3:8" ht="15">
      <c r="C12" s="30" t="s">
        <v>146</v>
      </c>
      <c r="D12">
        <v>0.25</v>
      </c>
      <c r="G12" t="s">
        <v>147</v>
      </c>
      <c r="H12">
        <v>0.2</v>
      </c>
    </row>
    <row r="13" spans="3:8" ht="15">
      <c r="C13" s="30" t="s">
        <v>148</v>
      </c>
      <c r="D13">
        <v>0.2</v>
      </c>
      <c r="G13" t="s">
        <v>149</v>
      </c>
      <c r="H13">
        <v>0.1</v>
      </c>
    </row>
    <row r="14" spans="3:4" ht="15">
      <c r="C14" s="30" t="s">
        <v>150</v>
      </c>
      <c r="D14">
        <v>0.15</v>
      </c>
    </row>
    <row r="15" spans="3:4" ht="15">
      <c r="C15" s="30" t="s">
        <v>151</v>
      </c>
      <c r="D15">
        <v>0.1</v>
      </c>
    </row>
    <row r="17" spans="1:15" ht="15">
      <c r="A17" s="34" t="s">
        <v>152</v>
      </c>
      <c r="B17" s="34"/>
      <c r="C17" s="34"/>
      <c r="D17" s="34"/>
      <c r="E17" s="34"/>
      <c r="F17" s="34"/>
      <c r="G17" s="34"/>
      <c r="H17" s="34"/>
      <c r="J17" s="34" t="s">
        <v>153</v>
      </c>
      <c r="K17" s="34"/>
      <c r="L17" s="34"/>
      <c r="M17" s="34"/>
      <c r="N17" s="34"/>
      <c r="O17" s="34"/>
    </row>
    <row r="18" spans="1:15" ht="15">
      <c r="A18" s="2">
        <v>1</v>
      </c>
      <c r="B18">
        <v>426</v>
      </c>
      <c r="C18" s="2">
        <v>11</v>
      </c>
      <c r="D18">
        <v>331</v>
      </c>
      <c r="E18" s="2">
        <v>21</v>
      </c>
      <c r="F18">
        <v>284</v>
      </c>
      <c r="G18" s="2">
        <v>31</v>
      </c>
      <c r="H18">
        <v>265</v>
      </c>
      <c r="J18" s="2">
        <v>1</v>
      </c>
      <c r="K18">
        <v>180</v>
      </c>
      <c r="L18" s="2">
        <v>11</v>
      </c>
      <c r="M18">
        <v>85</v>
      </c>
      <c r="N18" s="2">
        <v>21</v>
      </c>
      <c r="O18">
        <v>38</v>
      </c>
    </row>
    <row r="19" spans="1:15" ht="15">
      <c r="A19" s="2">
        <v>2</v>
      </c>
      <c r="B19">
        <v>416</v>
      </c>
      <c r="C19" s="2">
        <v>12</v>
      </c>
      <c r="D19">
        <v>326</v>
      </c>
      <c r="E19" s="2">
        <v>22</v>
      </c>
      <c r="F19">
        <v>282</v>
      </c>
      <c r="G19" s="2">
        <v>32</v>
      </c>
      <c r="H19">
        <v>264</v>
      </c>
      <c r="J19" s="2">
        <v>2</v>
      </c>
      <c r="K19">
        <v>170</v>
      </c>
      <c r="L19" s="2">
        <v>12</v>
      </c>
      <c r="M19">
        <v>80</v>
      </c>
      <c r="N19" s="2">
        <v>22</v>
      </c>
      <c r="O19">
        <v>36</v>
      </c>
    </row>
    <row r="20" spans="1:15" ht="15">
      <c r="A20" s="2">
        <v>3</v>
      </c>
      <c r="B20">
        <v>406</v>
      </c>
      <c r="C20" s="2">
        <v>13</v>
      </c>
      <c r="D20">
        <v>321</v>
      </c>
      <c r="E20" s="2">
        <v>23</v>
      </c>
      <c r="F20">
        <v>280</v>
      </c>
      <c r="G20" s="2">
        <v>33</v>
      </c>
      <c r="H20">
        <v>263</v>
      </c>
      <c r="J20" s="2">
        <v>3</v>
      </c>
      <c r="K20">
        <v>160</v>
      </c>
      <c r="L20" s="2">
        <v>13</v>
      </c>
      <c r="M20">
        <v>75</v>
      </c>
      <c r="N20" s="2">
        <v>23</v>
      </c>
      <c r="O20">
        <v>34</v>
      </c>
    </row>
    <row r="21" spans="1:15" ht="15">
      <c r="A21" s="2">
        <v>4</v>
      </c>
      <c r="B21">
        <v>396</v>
      </c>
      <c r="C21" s="2">
        <v>14</v>
      </c>
      <c r="D21">
        <v>316</v>
      </c>
      <c r="E21" s="2">
        <v>24</v>
      </c>
      <c r="F21">
        <v>278</v>
      </c>
      <c r="G21" s="2">
        <v>34</v>
      </c>
      <c r="H21">
        <v>262</v>
      </c>
      <c r="J21" s="2">
        <v>4</v>
      </c>
      <c r="K21">
        <v>150</v>
      </c>
      <c r="L21" s="2">
        <v>14</v>
      </c>
      <c r="M21">
        <v>70</v>
      </c>
      <c r="N21" s="2">
        <v>24</v>
      </c>
      <c r="O21">
        <v>32</v>
      </c>
    </row>
    <row r="22" spans="1:15" ht="15">
      <c r="A22" s="2">
        <v>5</v>
      </c>
      <c r="B22">
        <v>386</v>
      </c>
      <c r="C22" s="2">
        <v>15</v>
      </c>
      <c r="D22">
        <v>311</v>
      </c>
      <c r="E22" s="2">
        <v>25</v>
      </c>
      <c r="F22">
        <v>276</v>
      </c>
      <c r="G22" s="2">
        <v>35</v>
      </c>
      <c r="H22">
        <v>261</v>
      </c>
      <c r="J22" s="2">
        <v>5</v>
      </c>
      <c r="K22">
        <v>140</v>
      </c>
      <c r="L22" s="2">
        <v>15</v>
      </c>
      <c r="M22">
        <v>65</v>
      </c>
      <c r="N22" s="2">
        <v>45</v>
      </c>
      <c r="O22">
        <v>30</v>
      </c>
    </row>
    <row r="23" spans="1:15" ht="15">
      <c r="A23" s="2">
        <v>6</v>
      </c>
      <c r="B23">
        <v>376</v>
      </c>
      <c r="C23" s="2">
        <v>16</v>
      </c>
      <c r="D23">
        <v>306</v>
      </c>
      <c r="E23" s="2">
        <v>26</v>
      </c>
      <c r="F23">
        <v>274</v>
      </c>
      <c r="G23" s="2">
        <v>36</v>
      </c>
      <c r="H23">
        <v>260</v>
      </c>
      <c r="J23" s="2">
        <v>6</v>
      </c>
      <c r="K23">
        <v>130</v>
      </c>
      <c r="L23" s="2">
        <v>16</v>
      </c>
      <c r="M23">
        <v>60</v>
      </c>
      <c r="N23" s="2">
        <v>26</v>
      </c>
      <c r="O23">
        <v>28</v>
      </c>
    </row>
    <row r="24" spans="1:15" ht="15">
      <c r="A24" s="2">
        <v>7</v>
      </c>
      <c r="B24">
        <v>366</v>
      </c>
      <c r="C24" s="2">
        <v>17</v>
      </c>
      <c r="D24">
        <v>301</v>
      </c>
      <c r="E24" s="2">
        <v>27</v>
      </c>
      <c r="F24">
        <v>272</v>
      </c>
      <c r="G24" s="2">
        <v>37</v>
      </c>
      <c r="H24">
        <v>259</v>
      </c>
      <c r="J24" s="2">
        <v>7</v>
      </c>
      <c r="K24">
        <v>120</v>
      </c>
      <c r="L24" s="2">
        <v>17</v>
      </c>
      <c r="M24">
        <v>55</v>
      </c>
      <c r="N24" s="2">
        <v>27</v>
      </c>
      <c r="O24">
        <v>26</v>
      </c>
    </row>
    <row r="25" spans="1:15" ht="15">
      <c r="A25" s="2">
        <v>8</v>
      </c>
      <c r="B25">
        <v>356</v>
      </c>
      <c r="C25" s="2">
        <v>18</v>
      </c>
      <c r="D25">
        <v>296</v>
      </c>
      <c r="E25" s="2">
        <v>28</v>
      </c>
      <c r="F25">
        <v>270</v>
      </c>
      <c r="G25" s="2">
        <v>38</v>
      </c>
      <c r="H25">
        <v>258</v>
      </c>
      <c r="J25" s="2">
        <v>8</v>
      </c>
      <c r="K25">
        <v>110</v>
      </c>
      <c r="L25" s="2">
        <v>18</v>
      </c>
      <c r="M25">
        <v>50</v>
      </c>
      <c r="N25" s="2">
        <v>28</v>
      </c>
      <c r="O25">
        <v>24</v>
      </c>
    </row>
    <row r="26" spans="1:15" ht="15">
      <c r="A26" s="2">
        <v>9</v>
      </c>
      <c r="B26">
        <v>346</v>
      </c>
      <c r="C26" s="2">
        <v>19</v>
      </c>
      <c r="D26">
        <v>291</v>
      </c>
      <c r="E26" s="2">
        <v>29</v>
      </c>
      <c r="F26">
        <v>268</v>
      </c>
      <c r="G26" s="2">
        <v>39</v>
      </c>
      <c r="H26">
        <v>257</v>
      </c>
      <c r="J26" s="2">
        <v>9</v>
      </c>
      <c r="K26">
        <v>100</v>
      </c>
      <c r="L26" s="2">
        <v>19</v>
      </c>
      <c r="M26">
        <v>45</v>
      </c>
      <c r="N26" s="2">
        <v>29</v>
      </c>
      <c r="O26">
        <v>22</v>
      </c>
    </row>
    <row r="27" spans="1:15" ht="15">
      <c r="A27" s="2">
        <v>10</v>
      </c>
      <c r="B27">
        <v>336</v>
      </c>
      <c r="C27" s="2">
        <v>20</v>
      </c>
      <c r="D27">
        <v>286</v>
      </c>
      <c r="E27" s="2">
        <v>30</v>
      </c>
      <c r="F27">
        <v>266</v>
      </c>
      <c r="G27" s="2">
        <v>40</v>
      </c>
      <c r="H27">
        <v>256</v>
      </c>
      <c r="J27" s="2">
        <v>10</v>
      </c>
      <c r="K27">
        <v>90</v>
      </c>
      <c r="L27" s="2">
        <v>20</v>
      </c>
      <c r="M27">
        <v>40</v>
      </c>
      <c r="N27" s="2">
        <v>30</v>
      </c>
      <c r="O27">
        <v>20</v>
      </c>
    </row>
  </sheetData>
  <sheetProtection/>
  <mergeCells count="7">
    <mergeCell ref="J17:O17"/>
    <mergeCell ref="A1:H1"/>
    <mergeCell ref="A2:B2"/>
    <mergeCell ref="C2:D2"/>
    <mergeCell ref="E2:F2"/>
    <mergeCell ref="G2:H2"/>
    <mergeCell ref="A17:H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Zver</cp:lastModifiedBy>
  <dcterms:created xsi:type="dcterms:W3CDTF">2015-07-18T18:50:59Z</dcterms:created>
  <dcterms:modified xsi:type="dcterms:W3CDTF">2015-09-02T17:56:32Z</dcterms:modified>
  <cp:category/>
  <cp:version/>
  <cp:contentType/>
  <cp:contentStatus/>
</cp:coreProperties>
</file>